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26357999-F560-4101-BF7F-5EF22F9E7EC6}" xr6:coauthVersionLast="47" xr6:coauthVersionMax="47" xr10:uidLastSave="{00000000-0000-0000-0000-000000000000}"/>
  <bookViews>
    <workbookView xWindow="14085" yWindow="750" windowWidth="12735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J25" i="1" s="1"/>
  <c r="Q25" i="1"/>
  <c r="E26" i="1"/>
  <c r="F26" i="1" s="1"/>
  <c r="G26" i="1" s="1"/>
  <c r="J26" i="1" s="1"/>
  <c r="Q26" i="1"/>
  <c r="E22" i="1"/>
  <c r="F22" i="1"/>
  <c r="G22" i="1"/>
  <c r="I22" i="1"/>
  <c r="E23" i="1"/>
  <c r="F23" i="1"/>
  <c r="G23" i="1"/>
  <c r="I23" i="1"/>
  <c r="E24" i="1"/>
  <c r="F24" i="1"/>
  <c r="G24" i="1"/>
  <c r="I24" i="1"/>
  <c r="G11" i="1"/>
  <c r="F11" i="1"/>
  <c r="Q22" i="1"/>
  <c r="Q23" i="1"/>
  <c r="Q24" i="1"/>
  <c r="C21" i="1"/>
  <c r="E21" i="1"/>
  <c r="F21" i="1"/>
  <c r="G21" i="1"/>
  <c r="H21" i="1"/>
  <c r="A21" i="1"/>
  <c r="H20" i="1"/>
  <c r="E14" i="1"/>
  <c r="E15" i="1" s="1"/>
  <c r="C17" i="1"/>
  <c r="Q21" i="1"/>
  <c r="C12" i="1"/>
  <c r="C16" i="1" l="1"/>
  <c r="D18" i="1" s="1"/>
  <c r="C11" i="1"/>
  <c r="O26" i="1" l="1"/>
  <c r="S26" i="1" s="1"/>
  <c r="O25" i="1"/>
  <c r="S25" i="1" s="1"/>
  <c r="O24" i="1"/>
  <c r="S24" i="1" s="1"/>
  <c r="O22" i="1"/>
  <c r="S22" i="1" s="1"/>
  <c r="O23" i="1"/>
  <c r="S23" i="1" s="1"/>
  <c r="C15" i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<sst xmlns="http://schemas.openxmlformats.org/spreadsheetml/2006/main" count="63" uniqueCount="55">
  <si>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</si>
  <si>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</si>
  <si>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</si>
  <si>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</si>
  <si>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</si>
  <si>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</si>
  <si>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</si>
  <si>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</si>
  <si>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</si>
  <si>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</si>
  <si>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</si>
  <si>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</si>
  <si>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</si>
  <si>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</si>
  <si>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</si>
  <si>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</si>
  <si>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</si>
  <si>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</si>
  <si>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</si>
  <si>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</si>
  <si>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</si>
  <si>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</si>
  <si>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</si>
  <si>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</si>
  <si>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</si>
  <si>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</si>
  <si>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</si>
  <si>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</si>
  <si>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</si>
  <si>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</si>
  <si>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</si>
  <si>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</si>
  <si>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</si>
  <si>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</si>
  <si>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</si>
  <si>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</si>
  <si>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</si>
  <si>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</si>
  <si>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</si>
  <si>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</si>
  <si>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</si>
  <si>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</si>
  <si>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G5346-0275</t>
  </si>
  <si>
    <t>G5346-0275_Ori.xls</t>
  </si>
  <si>
    <t>EC</t>
  </si>
  <si>
    <t>Ori</t>
  </si>
  <si>
    <t>VSX</t>
  </si>
  <si>
    <t>IBVS 5960</t>
  </si>
  <si>
    <t>I</t>
  </si>
  <si>
    <t>IBVS 6011</t>
  </si>
  <si>
    <t>IBVS 6063</t>
  </si>
  <si>
    <t>II</t>
  </si>
  <si>
    <t>JBAV, 63</t>
  </si>
  <si>
    <t>JBAV</t>
  </si>
  <si>
    <t>V2813 Ori / GSC 5346-0275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</si>
</sst>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72" fontId="17" fillId="0" borderId="0" xfId="0" applyNumberFormat="1" applyFont="1" applyAlignment="1">
      <alignment vertical="center" wrapText="1"/>
    </xf>
    <xf numFmtId="0" fontId="18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5346-0275 -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5.0000000000000001E-3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5.0000000000000001E-3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3097</c:v>
                </c:pt>
                <c:pt idx="2">
                  <c:v>4157</c:v>
                </c:pt>
                <c:pt idx="3">
                  <c:v>5408.5</c:v>
                </c:pt>
                <c:pt idx="4">
                  <c:v>14851</c:v>
                </c:pt>
                <c:pt idx="5">
                  <c:v>14851.5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D0-49F8-8198-24ADAF2C74D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5.0000000000000001E-3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5.0000000000000001E-3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3097</c:v>
                </c:pt>
                <c:pt idx="2">
                  <c:v>4157</c:v>
                </c:pt>
                <c:pt idx="3">
                  <c:v>5408.5</c:v>
                </c:pt>
                <c:pt idx="4">
                  <c:v>14851</c:v>
                </c:pt>
                <c:pt idx="5">
                  <c:v>14851.5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8.706999993592035E-3</c:v>
                </c:pt>
                <c:pt idx="2">
                  <c:v>8.1669999926816672E-3</c:v>
                </c:pt>
                <c:pt idx="3">
                  <c:v>6.9134999939706177E-3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D0-49F8-8198-24ADAF2C74D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JBAV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5.0000000000000001E-3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5.0000000000000001E-3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3097</c:v>
                </c:pt>
                <c:pt idx="2">
                  <c:v>4157</c:v>
                </c:pt>
                <c:pt idx="3">
                  <c:v>5408.5</c:v>
                </c:pt>
                <c:pt idx="4">
                  <c:v>14851</c:v>
                </c:pt>
                <c:pt idx="5">
                  <c:v>14851.5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4">
                  <c:v>1.9080999998550396E-2</c:v>
                </c:pt>
                <c:pt idx="5">
                  <c:v>2.1946499997284263E-2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1D0-49F8-8198-24ADAF2C74D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5.0000000000000001E-3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5.0000000000000001E-3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3097</c:v>
                </c:pt>
                <c:pt idx="2">
                  <c:v>4157</c:v>
                </c:pt>
                <c:pt idx="3">
                  <c:v>5408.5</c:v>
                </c:pt>
                <c:pt idx="4">
                  <c:v>14851</c:v>
                </c:pt>
                <c:pt idx="5">
                  <c:v>14851.5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1D0-49F8-8198-24ADAF2C74D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5.0000000000000001E-3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5.0000000000000001E-3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3097</c:v>
                </c:pt>
                <c:pt idx="2">
                  <c:v>4157</c:v>
                </c:pt>
                <c:pt idx="3">
                  <c:v>5408.5</c:v>
                </c:pt>
                <c:pt idx="4">
                  <c:v>14851</c:v>
                </c:pt>
                <c:pt idx="5">
                  <c:v>14851.5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1D0-49F8-8198-24ADAF2C74D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5.0000000000000001E-3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5.0000000000000001E-3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3097</c:v>
                </c:pt>
                <c:pt idx="2">
                  <c:v>4157</c:v>
                </c:pt>
                <c:pt idx="3">
                  <c:v>5408.5</c:v>
                </c:pt>
                <c:pt idx="4">
                  <c:v>14851</c:v>
                </c:pt>
                <c:pt idx="5">
                  <c:v>14851.5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1D0-49F8-8198-24ADAF2C74D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5.0000000000000001E-3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5.0000000000000001E-3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3097</c:v>
                </c:pt>
                <c:pt idx="2">
                  <c:v>4157</c:v>
                </c:pt>
                <c:pt idx="3">
                  <c:v>5408.5</c:v>
                </c:pt>
                <c:pt idx="4">
                  <c:v>14851</c:v>
                </c:pt>
                <c:pt idx="5">
                  <c:v>14851.5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1D0-49F8-8198-24ADAF2C74D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3097</c:v>
                </c:pt>
                <c:pt idx="2">
                  <c:v>4157</c:v>
                </c:pt>
                <c:pt idx="3">
                  <c:v>5408.5</c:v>
                </c:pt>
                <c:pt idx="4">
                  <c:v>14851</c:v>
                </c:pt>
                <c:pt idx="5">
                  <c:v>14851.5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3.2550091704392301E-3</c:v>
                </c:pt>
                <c:pt idx="1">
                  <c:v>6.8034155889843771E-3</c:v>
                </c:pt>
                <c:pt idx="2">
                  <c:v>8.0179169786058994E-3</c:v>
                </c:pt>
                <c:pt idx="3">
                  <c:v>9.4518306475788565E-3</c:v>
                </c:pt>
                <c:pt idx="4">
                  <c:v>2.0270631941447938E-2</c:v>
                </c:pt>
                <c:pt idx="5">
                  <c:v>2.0271204819461909E-2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1D0-49F8-8198-24ADAF2C74D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3097</c:v>
                </c:pt>
                <c:pt idx="2">
                  <c:v>4157</c:v>
                </c:pt>
                <c:pt idx="3">
                  <c:v>5408.5</c:v>
                </c:pt>
                <c:pt idx="4">
                  <c:v>14851</c:v>
                </c:pt>
                <c:pt idx="5">
                  <c:v>14851.5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1D0-49F8-8198-24ADAF2C7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387536"/>
        <c:axId val="1"/>
      </c:scatterChart>
      <c:valAx>
        <c:axId val="869387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9387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46F8B22-2389-BDA7-F694-E9AE69BEDF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11" sqref="E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40" t="s">
        <v>54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s">
        <v>42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7">
        <v>54461.732000000004</v>
      </c>
      <c r="D7" s="29" t="s">
        <v>46</v>
      </c>
    </row>
    <row r="8" spans="1:7" x14ac:dyDescent="0.2">
      <c r="A8" t="s">
        <v>3</v>
      </c>
      <c r="C8" s="7">
        <v>0.34426899999999999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3.2550091704392301E-3</v>
      </c>
      <c r="D11" s="2"/>
      <c r="E11" s="9"/>
      <c r="F11" s="22" t="str">
        <f>"F"&amp;E19</f>
        <v>F22</v>
      </c>
      <c r="G11" s="23" t="str">
        <f>"G"&amp;E19</f>
        <v>G22</v>
      </c>
    </row>
    <row r="12" spans="1:7" x14ac:dyDescent="0.2">
      <c r="A12" s="9" t="s">
        <v>16</v>
      </c>
      <c r="B12" s="9"/>
      <c r="C12" s="21">
        <f ca="1">SLOPE(INDIRECT($G$11):G992,INDIRECT($F$11):F992)</f>
        <v>1.1457560279448326E-6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59965.709110648146</v>
      </c>
    </row>
    <row r="15" spans="1:7" x14ac:dyDescent="0.2">
      <c r="A15" s="11" t="s">
        <v>17</v>
      </c>
      <c r="B15" s="9"/>
      <c r="C15" s="12">
        <f ca="1">(C7+C11)+(C8+C12)*INT(MAX(F21:F3533))</f>
        <v>59574.491189631946</v>
      </c>
      <c r="D15" s="13" t="s">
        <v>38</v>
      </c>
      <c r="E15" s="14">
        <f ca="1">ROUND(2*(E14-$C$7)/$C$8,0)/2+E13</f>
        <v>15988.5</v>
      </c>
    </row>
    <row r="16" spans="1:7" x14ac:dyDescent="0.2">
      <c r="A16" s="15" t="s">
        <v>4</v>
      </c>
      <c r="B16" s="9"/>
      <c r="C16" s="16">
        <f ca="1">+C8+C12</f>
        <v>0.34427014575602793</v>
      </c>
      <c r="D16" s="13" t="s">
        <v>39</v>
      </c>
      <c r="E16" s="23">
        <f ca="1">ROUND(2*(E14-$C$15)/$C$16,0)/2+E13</f>
        <v>1137.5</v>
      </c>
    </row>
    <row r="17" spans="1:19" ht="13.5" thickBot="1" x14ac:dyDescent="0.25">
      <c r="A17" s="13" t="s">
        <v>29</v>
      </c>
      <c r="B17" s="9"/>
      <c r="C17" s="9">
        <f>COUNT(C21:C2191)</f>
        <v>6</v>
      </c>
      <c r="D17" s="13" t="s">
        <v>33</v>
      </c>
      <c r="E17" s="17">
        <f ca="1">+$C$15+$C$16*E16-15018.5-$C$9/24</f>
        <v>44947.994313762763</v>
      </c>
    </row>
    <row r="18" spans="1:19" ht="14.25" thickTop="1" thickBot="1" x14ac:dyDescent="0.25">
      <c r="A18" s="15" t="s">
        <v>5</v>
      </c>
      <c r="B18" s="9"/>
      <c r="C18" s="18">
        <f ca="1">+C15</f>
        <v>59574.491189631946</v>
      </c>
      <c r="D18" s="19">
        <f ca="1">+C16</f>
        <v>0.34427014575602793</v>
      </c>
      <c r="E18" s="20" t="s">
        <v>34</v>
      </c>
    </row>
    <row r="19" spans="1:19" ht="13.5" thickTop="1" x14ac:dyDescent="0.2">
      <c r="A19" s="24" t="s">
        <v>35</v>
      </c>
      <c r="E19" s="25">
        <v>22</v>
      </c>
      <c r="S19">
        <f ca="1">SQRT(SUM(S21:S50)/(COUNT(S21:S50)-1))</f>
        <v>2.231855937538941E-3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53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54461.732000000004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3.2550091704392301E-3</v>
      </c>
      <c r="Q21" s="1">
        <f>+C21-15018.5</f>
        <v>39443.232000000004</v>
      </c>
      <c r="S21">
        <f ca="1">+(O21-G21)^2</f>
        <v>1.0595084699643484E-5</v>
      </c>
    </row>
    <row r="22" spans="1:19" x14ac:dyDescent="0.2">
      <c r="A22" s="32" t="s">
        <v>47</v>
      </c>
      <c r="B22" s="33" t="s">
        <v>48</v>
      </c>
      <c r="C22" s="32">
        <v>55527.941800000001</v>
      </c>
      <c r="D22" s="32">
        <v>4.0000000000000002E-4</v>
      </c>
      <c r="E22">
        <f>+(C22-C$7)/C$8</f>
        <v>3097.0252912693181</v>
      </c>
      <c r="F22">
        <f>ROUND(2*E22,0)/2</f>
        <v>3097</v>
      </c>
      <c r="G22">
        <f>+C22-(C$7+F22*C$8)</f>
        <v>8.706999993592035E-3</v>
      </c>
      <c r="I22">
        <f>+G22</f>
        <v>8.706999993592035E-3</v>
      </c>
      <c r="O22">
        <f ca="1">+C$11+C$12*$F22</f>
        <v>6.8034155889843771E-3</v>
      </c>
      <c r="Q22" s="1">
        <f>+C22-15018.5</f>
        <v>40509.441800000001</v>
      </c>
      <c r="S22">
        <f ca="1">+(O22-G22)^2</f>
        <v>3.6236335854654917E-6</v>
      </c>
    </row>
    <row r="23" spans="1:19" x14ac:dyDescent="0.2">
      <c r="A23" s="32" t="s">
        <v>49</v>
      </c>
      <c r="B23" s="33" t="s">
        <v>48</v>
      </c>
      <c r="C23" s="32">
        <v>55892.866399999999</v>
      </c>
      <c r="D23" s="32">
        <v>1E-4</v>
      </c>
      <c r="E23">
        <f>+(C23-C$7)/C$8</f>
        <v>4157.0237227284342</v>
      </c>
      <c r="F23">
        <f>ROUND(2*E23,0)/2</f>
        <v>4157</v>
      </c>
      <c r="G23">
        <f>+C23-(C$7+F23*C$8)</f>
        <v>8.1669999926816672E-3</v>
      </c>
      <c r="I23">
        <f>+G23</f>
        <v>8.1669999926816672E-3</v>
      </c>
      <c r="O23">
        <f ca="1">+C$11+C$12*$F23</f>
        <v>8.0179169786058994E-3</v>
      </c>
      <c r="Q23" s="1">
        <f>+C23-15018.5</f>
        <v>40874.366399999999</v>
      </c>
      <c r="S23">
        <f ca="1">+(O23-G23)^2</f>
        <v>2.2225745085915592E-8</v>
      </c>
    </row>
    <row r="24" spans="1:19" x14ac:dyDescent="0.2">
      <c r="A24" s="34" t="s">
        <v>50</v>
      </c>
      <c r="B24" s="35" t="s">
        <v>51</v>
      </c>
      <c r="C24" s="36">
        <v>56323.717799999999</v>
      </c>
      <c r="D24" s="36">
        <v>4.0000000000000002E-4</v>
      </c>
      <c r="E24">
        <f>+(C24-C$7)/C$8</f>
        <v>5408.520081680299</v>
      </c>
      <c r="F24">
        <f>ROUND(2*E24,0)/2</f>
        <v>5408.5</v>
      </c>
      <c r="G24">
        <f>+C24-(C$7+F24*C$8)</f>
        <v>6.9134999939706177E-3</v>
      </c>
      <c r="I24">
        <f>+G24</f>
        <v>6.9134999939706177E-3</v>
      </c>
      <c r="O24">
        <f ca="1">+C$11+C$12*$F24</f>
        <v>9.4518306475788565E-3</v>
      </c>
      <c r="Q24" s="1">
        <f>+C24-15018.5</f>
        <v>41305.217799999999</v>
      </c>
      <c r="S24">
        <f ca="1">+(O24-G24)^2</f>
        <v>6.4431225070472286E-6</v>
      </c>
    </row>
    <row r="25" spans="1:19" x14ac:dyDescent="0.2">
      <c r="A25" s="37" t="s">
        <v>52</v>
      </c>
      <c r="B25" s="38" t="s">
        <v>51</v>
      </c>
      <c r="C25" s="39">
        <v>59574.49</v>
      </c>
      <c r="D25" s="37">
        <v>5.0000000000000001E-3</v>
      </c>
      <c r="E25">
        <f t="shared" ref="E25:E26" si="0">+(C25-C$7)/C$8</f>
        <v>14851.055424682427</v>
      </c>
      <c r="F25">
        <f t="shared" ref="F25:F26" si="1">ROUND(2*E25,0)/2</f>
        <v>14851</v>
      </c>
      <c r="G25">
        <f t="shared" ref="G25:G26" si="2">+C25-(C$7+F25*C$8)</f>
        <v>1.9080999998550396E-2</v>
      </c>
      <c r="J25">
        <f>+G25</f>
        <v>1.9080999998550396E-2</v>
      </c>
      <c r="O25">
        <f t="shared" ref="O25:O26" ca="1" si="3">+C$11+C$12*$F25</f>
        <v>2.0270631941447938E-2</v>
      </c>
      <c r="Q25" s="1">
        <f t="shared" ref="Q25:Q26" si="4">+C25-15018.5</f>
        <v>44555.99</v>
      </c>
      <c r="S25">
        <f t="shared" ref="S25:S26" ca="1" si="5">+(O25-G25)^2</f>
        <v>1.415224159562179E-6</v>
      </c>
    </row>
    <row r="26" spans="1:19" x14ac:dyDescent="0.2">
      <c r="A26" s="37" t="s">
        <v>52</v>
      </c>
      <c r="B26" s="38" t="s">
        <v>51</v>
      </c>
      <c r="C26" s="39">
        <v>59574.665000000001</v>
      </c>
      <c r="D26" s="37">
        <v>5.0000000000000001E-3</v>
      </c>
      <c r="E26">
        <f t="shared" si="0"/>
        <v>14851.563748115565</v>
      </c>
      <c r="F26">
        <f t="shared" si="1"/>
        <v>14851.5</v>
      </c>
      <c r="G26">
        <f t="shared" si="2"/>
        <v>2.1946499997284263E-2</v>
      </c>
      <c r="J26">
        <f>+G26</f>
        <v>2.1946499997284263E-2</v>
      </c>
      <c r="O26">
        <f t="shared" ca="1" si="3"/>
        <v>2.0271204819461909E-2</v>
      </c>
      <c r="Q26" s="1">
        <f t="shared" si="4"/>
        <v>44556.165000000001</v>
      </c>
      <c r="S26">
        <f t="shared" ca="1" si="5"/>
        <v>2.8066139328348336E-6</v>
      </c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2023-01-21T04:01:07Z</dcterms:modified>
</cp:coreProperties>
</file>