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AABD287-3B97-4FC0-BEA9-24E339D2191E}" xr6:coauthVersionLast="47" xr6:coauthVersionMax="47" xr10:uidLastSave="{00000000-0000-0000-0000-000000000000}"/>
  <bookViews>
    <workbookView xWindow="13800" yWindow="810" windowWidth="12735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00" i="1" l="1"/>
  <c r="Q101" i="1"/>
  <c r="C7" i="1"/>
  <c r="E100" i="1" s="1"/>
  <c r="F100" i="1" s="1"/>
  <c r="G100" i="1" s="1"/>
  <c r="K100" i="1" s="1"/>
  <c r="C8" i="1"/>
  <c r="C9" i="1"/>
  <c r="D9" i="1"/>
  <c r="F16" i="1"/>
  <c r="Q21" i="1"/>
  <c r="Q22" i="1"/>
  <c r="Q23" i="1"/>
  <c r="Q24" i="1"/>
  <c r="Q25" i="1"/>
  <c r="Q26" i="1"/>
  <c r="E27" i="1"/>
  <c r="F27" i="1" s="1"/>
  <c r="G27" i="1" s="1"/>
  <c r="H27" i="1" s="1"/>
  <c r="Q27" i="1"/>
  <c r="Q28" i="1"/>
  <c r="Q29" i="1"/>
  <c r="Q30" i="1"/>
  <c r="Q31" i="1"/>
  <c r="Q32" i="1"/>
  <c r="Q33" i="1"/>
  <c r="Q34" i="1"/>
  <c r="Q35" i="1"/>
  <c r="Q36" i="1"/>
  <c r="Q37" i="1"/>
  <c r="Q38" i="1"/>
  <c r="E39" i="1"/>
  <c r="F39" i="1" s="1"/>
  <c r="G39" i="1" s="1"/>
  <c r="H39" i="1" s="1"/>
  <c r="Q39" i="1"/>
  <c r="Q40" i="1"/>
  <c r="Q41" i="1"/>
  <c r="Q42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E59" i="1"/>
  <c r="F59" i="1" s="1"/>
  <c r="Q59" i="1"/>
  <c r="C43" i="1"/>
  <c r="Q60" i="1"/>
  <c r="Q61" i="1"/>
  <c r="Q62" i="1"/>
  <c r="Q63" i="1"/>
  <c r="Q64" i="1"/>
  <c r="Q65" i="1"/>
  <c r="Q66" i="1"/>
  <c r="Q67" i="1"/>
  <c r="Q68" i="1"/>
  <c r="Q69" i="1"/>
  <c r="Q70" i="1"/>
  <c r="Q71" i="1"/>
  <c r="E72" i="1"/>
  <c r="F72" i="1" s="1"/>
  <c r="G72" i="1" s="1"/>
  <c r="J72" i="1" s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E89" i="1"/>
  <c r="F89" i="1" s="1"/>
  <c r="G89" i="1" s="1"/>
  <c r="K89" i="1" s="1"/>
  <c r="Q89" i="1"/>
  <c r="Q90" i="1"/>
  <c r="Q91" i="1"/>
  <c r="Q92" i="1"/>
  <c r="Q93" i="1"/>
  <c r="Q94" i="1"/>
  <c r="Q95" i="1"/>
  <c r="Q96" i="1"/>
  <c r="Q97" i="1"/>
  <c r="Q98" i="1"/>
  <c r="Q99" i="1"/>
  <c r="A11" i="2"/>
  <c r="B11" i="2"/>
  <c r="C11" i="2"/>
  <c r="D11" i="2"/>
  <c r="G11" i="2"/>
  <c r="H11" i="2"/>
  <c r="A12" i="2"/>
  <c r="C12" i="2"/>
  <c r="D12" i="2"/>
  <c r="G12" i="2"/>
  <c r="H12" i="2"/>
  <c r="B12" i="2"/>
  <c r="A13" i="2"/>
  <c r="D13" i="2"/>
  <c r="G13" i="2"/>
  <c r="C13" i="2"/>
  <c r="H13" i="2"/>
  <c r="B13" i="2"/>
  <c r="A14" i="2"/>
  <c r="B14" i="2"/>
  <c r="D14" i="2"/>
  <c r="G14" i="2"/>
  <c r="C14" i="2"/>
  <c r="H14" i="2"/>
  <c r="A15" i="2"/>
  <c r="D15" i="2"/>
  <c r="G15" i="2"/>
  <c r="C15" i="2"/>
  <c r="H15" i="2"/>
  <c r="B15" i="2"/>
  <c r="A16" i="2"/>
  <c r="C16" i="2"/>
  <c r="D16" i="2"/>
  <c r="G16" i="2"/>
  <c r="H16" i="2"/>
  <c r="B16" i="2"/>
  <c r="A17" i="2"/>
  <c r="D17" i="2"/>
  <c r="G17" i="2"/>
  <c r="C17" i="2"/>
  <c r="H17" i="2"/>
  <c r="B17" i="2"/>
  <c r="A18" i="2"/>
  <c r="B18" i="2"/>
  <c r="D18" i="2"/>
  <c r="G18" i="2"/>
  <c r="C18" i="2"/>
  <c r="H18" i="2"/>
  <c r="A19" i="2"/>
  <c r="B19" i="2"/>
  <c r="C19" i="2"/>
  <c r="D19" i="2"/>
  <c r="G19" i="2"/>
  <c r="H19" i="2"/>
  <c r="A20" i="2"/>
  <c r="C20" i="2"/>
  <c r="D20" i="2"/>
  <c r="G20" i="2"/>
  <c r="H20" i="2"/>
  <c r="B20" i="2"/>
  <c r="A21" i="2"/>
  <c r="B21" i="2"/>
  <c r="C21" i="2"/>
  <c r="D21" i="2"/>
  <c r="G21" i="2"/>
  <c r="H21" i="2"/>
  <c r="A22" i="2"/>
  <c r="B22" i="2"/>
  <c r="D22" i="2"/>
  <c r="G22" i="2"/>
  <c r="C22" i="2"/>
  <c r="H22" i="2"/>
  <c r="A23" i="2"/>
  <c r="D23" i="2"/>
  <c r="G23" i="2"/>
  <c r="C23" i="2"/>
  <c r="H23" i="2"/>
  <c r="B23" i="2"/>
  <c r="A24" i="2"/>
  <c r="C24" i="2"/>
  <c r="D24" i="2"/>
  <c r="G24" i="2"/>
  <c r="H24" i="2"/>
  <c r="B24" i="2"/>
  <c r="A25" i="2"/>
  <c r="D25" i="2"/>
  <c r="G25" i="2"/>
  <c r="C25" i="2"/>
  <c r="H25" i="2"/>
  <c r="B25" i="2"/>
  <c r="A26" i="2"/>
  <c r="B26" i="2"/>
  <c r="D26" i="2"/>
  <c r="G26" i="2"/>
  <c r="C26" i="2"/>
  <c r="H26" i="2"/>
  <c r="A27" i="2"/>
  <c r="B27" i="2"/>
  <c r="C27" i="2"/>
  <c r="D27" i="2"/>
  <c r="G27" i="2"/>
  <c r="H27" i="2"/>
  <c r="A28" i="2"/>
  <c r="C28" i="2"/>
  <c r="D28" i="2"/>
  <c r="G28" i="2"/>
  <c r="H28" i="2"/>
  <c r="B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D31" i="2"/>
  <c r="G31" i="2"/>
  <c r="C31" i="2"/>
  <c r="H31" i="2"/>
  <c r="B31" i="2"/>
  <c r="A32" i="2"/>
  <c r="C32" i="2"/>
  <c r="D32" i="2"/>
  <c r="G32" i="2"/>
  <c r="H32" i="2"/>
  <c r="B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B35" i="2"/>
  <c r="C35" i="2"/>
  <c r="D35" i="2"/>
  <c r="G35" i="2"/>
  <c r="H35" i="2"/>
  <c r="A36" i="2"/>
  <c r="C36" i="2"/>
  <c r="D36" i="2"/>
  <c r="G36" i="2"/>
  <c r="H36" i="2"/>
  <c r="B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D39" i="2"/>
  <c r="G39" i="2"/>
  <c r="C39" i="2"/>
  <c r="H39" i="2"/>
  <c r="B39" i="2"/>
  <c r="A40" i="2"/>
  <c r="C40" i="2"/>
  <c r="D40" i="2"/>
  <c r="G40" i="2"/>
  <c r="H40" i="2"/>
  <c r="B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C44" i="2"/>
  <c r="D44" i="2"/>
  <c r="G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D47" i="2"/>
  <c r="G47" i="2"/>
  <c r="C47" i="2"/>
  <c r="H47" i="2"/>
  <c r="B47" i="2"/>
  <c r="A48" i="2"/>
  <c r="C48" i="2"/>
  <c r="D48" i="2"/>
  <c r="G48" i="2"/>
  <c r="H48" i="2"/>
  <c r="B48" i="2"/>
  <c r="A49" i="2"/>
  <c r="D49" i="2"/>
  <c r="G49" i="2"/>
  <c r="C49" i="2"/>
  <c r="H49" i="2"/>
  <c r="B49" i="2"/>
  <c r="A50" i="2"/>
  <c r="B50" i="2"/>
  <c r="D50" i="2"/>
  <c r="G50" i="2"/>
  <c r="C50" i="2"/>
  <c r="H50" i="2"/>
  <c r="A51" i="2"/>
  <c r="B51" i="2"/>
  <c r="C51" i="2"/>
  <c r="D51" i="2"/>
  <c r="G51" i="2"/>
  <c r="H51" i="2"/>
  <c r="A52" i="2"/>
  <c r="C52" i="2"/>
  <c r="D52" i="2"/>
  <c r="F52" i="2"/>
  <c r="G52" i="2"/>
  <c r="H52" i="2"/>
  <c r="B52" i="2"/>
  <c r="A53" i="2"/>
  <c r="C53" i="2"/>
  <c r="D53" i="2"/>
  <c r="F53" i="2"/>
  <c r="G53" i="2"/>
  <c r="H53" i="2"/>
  <c r="B53" i="2"/>
  <c r="A54" i="2"/>
  <c r="C54" i="2"/>
  <c r="D54" i="2"/>
  <c r="F54" i="2"/>
  <c r="G54" i="2"/>
  <c r="H54" i="2"/>
  <c r="B54" i="2"/>
  <c r="A55" i="2"/>
  <c r="C55" i="2"/>
  <c r="D55" i="2"/>
  <c r="F55" i="2"/>
  <c r="G55" i="2"/>
  <c r="H55" i="2"/>
  <c r="B55" i="2"/>
  <c r="A56" i="2"/>
  <c r="C56" i="2"/>
  <c r="D56" i="2"/>
  <c r="F56" i="2"/>
  <c r="G56" i="2"/>
  <c r="H56" i="2"/>
  <c r="B56" i="2"/>
  <c r="A57" i="2"/>
  <c r="C57" i="2"/>
  <c r="D57" i="2"/>
  <c r="G57" i="2"/>
  <c r="H57" i="2"/>
  <c r="B57" i="2"/>
  <c r="A58" i="2"/>
  <c r="C58" i="2"/>
  <c r="D58" i="2"/>
  <c r="G58" i="2"/>
  <c r="H58" i="2"/>
  <c r="B58" i="2"/>
  <c r="A59" i="2"/>
  <c r="B59" i="2"/>
  <c r="D59" i="2"/>
  <c r="G59" i="2"/>
  <c r="C59" i="2"/>
  <c r="H59" i="2"/>
  <c r="A60" i="2"/>
  <c r="D60" i="2"/>
  <c r="G60" i="2"/>
  <c r="C60" i="2"/>
  <c r="H60" i="2"/>
  <c r="B60" i="2"/>
  <c r="A61" i="2"/>
  <c r="C61" i="2"/>
  <c r="D61" i="2"/>
  <c r="G61" i="2"/>
  <c r="H61" i="2"/>
  <c r="B61" i="2"/>
  <c r="A62" i="2"/>
  <c r="D62" i="2"/>
  <c r="G62" i="2"/>
  <c r="C62" i="2"/>
  <c r="H62" i="2"/>
  <c r="B62" i="2"/>
  <c r="A63" i="2"/>
  <c r="B63" i="2"/>
  <c r="D63" i="2"/>
  <c r="G63" i="2"/>
  <c r="C63" i="2"/>
  <c r="H63" i="2"/>
  <c r="A64" i="2"/>
  <c r="B64" i="2"/>
  <c r="C64" i="2"/>
  <c r="D64" i="2"/>
  <c r="G64" i="2"/>
  <c r="H64" i="2"/>
  <c r="A65" i="2"/>
  <c r="C65" i="2"/>
  <c r="D65" i="2"/>
  <c r="G65" i="2"/>
  <c r="H65" i="2"/>
  <c r="B65" i="2"/>
  <c r="A66" i="2"/>
  <c r="C66" i="2"/>
  <c r="D66" i="2"/>
  <c r="G66" i="2"/>
  <c r="H66" i="2"/>
  <c r="B66" i="2"/>
  <c r="A67" i="2"/>
  <c r="B67" i="2"/>
  <c r="D67" i="2"/>
  <c r="G67" i="2"/>
  <c r="C67" i="2"/>
  <c r="H67" i="2"/>
  <c r="A68" i="2"/>
  <c r="D68" i="2"/>
  <c r="G68" i="2"/>
  <c r="C68" i="2"/>
  <c r="H68" i="2"/>
  <c r="B68" i="2"/>
  <c r="A69" i="2"/>
  <c r="C69" i="2"/>
  <c r="D69" i="2"/>
  <c r="G69" i="2"/>
  <c r="H69" i="2"/>
  <c r="B69" i="2"/>
  <c r="A70" i="2"/>
  <c r="D70" i="2"/>
  <c r="G70" i="2"/>
  <c r="C70" i="2"/>
  <c r="H70" i="2"/>
  <c r="B70" i="2"/>
  <c r="A71" i="2"/>
  <c r="B71" i="2"/>
  <c r="D71" i="2"/>
  <c r="G71" i="2"/>
  <c r="C71" i="2"/>
  <c r="H71" i="2"/>
  <c r="A72" i="2"/>
  <c r="B72" i="2"/>
  <c r="C72" i="2"/>
  <c r="D72" i="2"/>
  <c r="G72" i="2"/>
  <c r="H72" i="2"/>
  <c r="A73" i="2"/>
  <c r="C73" i="2"/>
  <c r="D73" i="2"/>
  <c r="G73" i="2"/>
  <c r="H73" i="2"/>
  <c r="B73" i="2"/>
  <c r="A74" i="2"/>
  <c r="C74" i="2"/>
  <c r="D74" i="2"/>
  <c r="G74" i="2"/>
  <c r="H74" i="2"/>
  <c r="B74" i="2"/>
  <c r="A75" i="2"/>
  <c r="B75" i="2"/>
  <c r="D75" i="2"/>
  <c r="G75" i="2"/>
  <c r="C75" i="2"/>
  <c r="H75" i="2"/>
  <c r="A76" i="2"/>
  <c r="D76" i="2"/>
  <c r="G76" i="2"/>
  <c r="C76" i="2"/>
  <c r="H76" i="2"/>
  <c r="B76" i="2"/>
  <c r="A77" i="2"/>
  <c r="C77" i="2"/>
  <c r="D77" i="2"/>
  <c r="G77" i="2"/>
  <c r="H77" i="2"/>
  <c r="B77" i="2"/>
  <c r="A78" i="2"/>
  <c r="D78" i="2"/>
  <c r="G78" i="2"/>
  <c r="C78" i="2"/>
  <c r="H78" i="2"/>
  <c r="B78" i="2"/>
  <c r="A79" i="2"/>
  <c r="B79" i="2"/>
  <c r="D79" i="2"/>
  <c r="G79" i="2"/>
  <c r="C79" i="2"/>
  <c r="H79" i="2"/>
  <c r="A80" i="2"/>
  <c r="B80" i="2"/>
  <c r="C80" i="2"/>
  <c r="D80" i="2"/>
  <c r="G80" i="2"/>
  <c r="H80" i="2"/>
  <c r="A81" i="2"/>
  <c r="C81" i="2"/>
  <c r="D81" i="2"/>
  <c r="G81" i="2"/>
  <c r="H81" i="2"/>
  <c r="B81" i="2"/>
  <c r="A82" i="2"/>
  <c r="C82" i="2"/>
  <c r="D82" i="2"/>
  <c r="G82" i="2"/>
  <c r="H82" i="2"/>
  <c r="B82" i="2"/>
  <c r="E75" i="1" l="1"/>
  <c r="F75" i="1" s="1"/>
  <c r="G75" i="1" s="1"/>
  <c r="K75" i="1" s="1"/>
  <c r="E69" i="1"/>
  <c r="F69" i="1" s="1"/>
  <c r="E45" i="1"/>
  <c r="F45" i="1" s="1"/>
  <c r="G45" i="1" s="1"/>
  <c r="I45" i="1" s="1"/>
  <c r="E83" i="1"/>
  <c r="F83" i="1" s="1"/>
  <c r="G83" i="1" s="1"/>
  <c r="K83" i="1" s="1"/>
  <c r="E77" i="1"/>
  <c r="F77" i="1" s="1"/>
  <c r="G77" i="1" s="1"/>
  <c r="K77" i="1" s="1"/>
  <c r="E48" i="1"/>
  <c r="F48" i="1" s="1"/>
  <c r="G48" i="1" s="1"/>
  <c r="I48" i="1" s="1"/>
  <c r="E30" i="2"/>
  <c r="E91" i="1"/>
  <c r="F91" i="1" s="1"/>
  <c r="G91" i="1" s="1"/>
  <c r="K91" i="1" s="1"/>
  <c r="E88" i="1"/>
  <c r="F88" i="1" s="1"/>
  <c r="G88" i="1" s="1"/>
  <c r="K88" i="1" s="1"/>
  <c r="E85" i="1"/>
  <c r="F85" i="1" s="1"/>
  <c r="G85" i="1" s="1"/>
  <c r="K85" i="1" s="1"/>
  <c r="E71" i="1"/>
  <c r="F71" i="1" s="1"/>
  <c r="G71" i="1" s="1"/>
  <c r="K71" i="1" s="1"/>
  <c r="E66" i="1"/>
  <c r="F66" i="1" s="1"/>
  <c r="G66" i="1" s="1"/>
  <c r="J66" i="1" s="1"/>
  <c r="E56" i="1"/>
  <c r="F56" i="1" s="1"/>
  <c r="G56" i="1" s="1"/>
  <c r="I56" i="1" s="1"/>
  <c r="E44" i="1"/>
  <c r="E41" i="1"/>
  <c r="E30" i="1"/>
  <c r="E101" i="1"/>
  <c r="F101" i="1" s="1"/>
  <c r="G101" i="1" s="1"/>
  <c r="K101" i="1" s="1"/>
  <c r="E25" i="1"/>
  <c r="E53" i="1"/>
  <c r="F53" i="1" s="1"/>
  <c r="G53" i="1" s="1"/>
  <c r="I53" i="1" s="1"/>
  <c r="E22" i="1"/>
  <c r="E99" i="1"/>
  <c r="F99" i="1" s="1"/>
  <c r="G99" i="1" s="1"/>
  <c r="K99" i="1" s="1"/>
  <c r="E96" i="1"/>
  <c r="F96" i="1" s="1"/>
  <c r="G96" i="1" s="1"/>
  <c r="K96" i="1" s="1"/>
  <c r="E93" i="1"/>
  <c r="F93" i="1" s="1"/>
  <c r="G93" i="1" s="1"/>
  <c r="J93" i="1" s="1"/>
  <c r="E79" i="1"/>
  <c r="G76" i="1"/>
  <c r="J76" i="1" s="1"/>
  <c r="E74" i="1"/>
  <c r="F74" i="1" s="1"/>
  <c r="G74" i="1" s="1"/>
  <c r="K74" i="1" s="1"/>
  <c r="E62" i="1"/>
  <c r="F62" i="1" s="1"/>
  <c r="G62" i="1" s="1"/>
  <c r="I62" i="1" s="1"/>
  <c r="E60" i="1"/>
  <c r="F60" i="1" s="1"/>
  <c r="E52" i="1"/>
  <c r="F52" i="1" s="1"/>
  <c r="G52" i="1" s="1"/>
  <c r="I52" i="1" s="1"/>
  <c r="E50" i="1"/>
  <c r="E38" i="1"/>
  <c r="E24" i="1"/>
  <c r="E21" i="1"/>
  <c r="E97" i="1"/>
  <c r="F97" i="1" s="1"/>
  <c r="G97" i="1" s="1"/>
  <c r="K97" i="1" s="1"/>
  <c r="G60" i="1"/>
  <c r="I60" i="1" s="1"/>
  <c r="E33" i="1"/>
  <c r="E75" i="2"/>
  <c r="E87" i="1"/>
  <c r="F87" i="1" s="1"/>
  <c r="G87" i="1" s="1"/>
  <c r="K87" i="1" s="1"/>
  <c r="E82" i="1"/>
  <c r="F82" i="1" s="1"/>
  <c r="G82" i="1" s="1"/>
  <c r="K82" i="1" s="1"/>
  <c r="E70" i="1"/>
  <c r="F70" i="1" s="1"/>
  <c r="G70" i="1" s="1"/>
  <c r="K70" i="1" s="1"/>
  <c r="E68" i="1"/>
  <c r="E58" i="1"/>
  <c r="E47" i="1"/>
  <c r="F47" i="1" s="1"/>
  <c r="G47" i="1" s="1"/>
  <c r="I47" i="1" s="1"/>
  <c r="E32" i="1"/>
  <c r="E29" i="1"/>
  <c r="E26" i="1"/>
  <c r="F17" i="1"/>
  <c r="E80" i="1"/>
  <c r="F80" i="1" s="1"/>
  <c r="G80" i="1" s="1"/>
  <c r="K80" i="1" s="1"/>
  <c r="E63" i="1"/>
  <c r="F63" i="1" s="1"/>
  <c r="G63" i="1" s="1"/>
  <c r="I63" i="1" s="1"/>
  <c r="E35" i="1"/>
  <c r="F35" i="1" s="1"/>
  <c r="G35" i="1" s="1"/>
  <c r="H35" i="1" s="1"/>
  <c r="E95" i="1"/>
  <c r="F95" i="1" s="1"/>
  <c r="G95" i="1" s="1"/>
  <c r="K95" i="1" s="1"/>
  <c r="E90" i="1"/>
  <c r="F90" i="1" s="1"/>
  <c r="G90" i="1" s="1"/>
  <c r="K90" i="1" s="1"/>
  <c r="E78" i="1"/>
  <c r="E76" i="1"/>
  <c r="F76" i="1" s="1"/>
  <c r="E65" i="1"/>
  <c r="F65" i="1" s="1"/>
  <c r="G65" i="1" s="1"/>
  <c r="J65" i="1" s="1"/>
  <c r="E55" i="1"/>
  <c r="F55" i="1" s="1"/>
  <c r="G55" i="1" s="1"/>
  <c r="J55" i="1" s="1"/>
  <c r="E40" i="1"/>
  <c r="E37" i="1"/>
  <c r="E34" i="1"/>
  <c r="G59" i="1"/>
  <c r="I59" i="1" s="1"/>
  <c r="E49" i="1"/>
  <c r="F49" i="1" s="1"/>
  <c r="G49" i="1" s="1"/>
  <c r="I49" i="1" s="1"/>
  <c r="E23" i="1"/>
  <c r="E98" i="1"/>
  <c r="F98" i="1" s="1"/>
  <c r="G98" i="1" s="1"/>
  <c r="K98" i="1" s="1"/>
  <c r="E86" i="1"/>
  <c r="F86" i="1" s="1"/>
  <c r="G86" i="1" s="1"/>
  <c r="K86" i="1" s="1"/>
  <c r="E84" i="1"/>
  <c r="F84" i="1" s="1"/>
  <c r="G84" i="1" s="1"/>
  <c r="K84" i="1" s="1"/>
  <c r="E73" i="1"/>
  <c r="F73" i="1" s="1"/>
  <c r="G73" i="1" s="1"/>
  <c r="J73" i="1" s="1"/>
  <c r="G69" i="1"/>
  <c r="K69" i="1" s="1"/>
  <c r="E46" i="1"/>
  <c r="F46" i="1" s="1"/>
  <c r="G46" i="1" s="1"/>
  <c r="I46" i="1" s="1"/>
  <c r="E42" i="1"/>
  <c r="E28" i="1"/>
  <c r="E64" i="2" s="1"/>
  <c r="E94" i="1"/>
  <c r="F94" i="1" s="1"/>
  <c r="G94" i="1" s="1"/>
  <c r="K94" i="1" s="1"/>
  <c r="E92" i="1"/>
  <c r="F92" i="1" s="1"/>
  <c r="G92" i="1" s="1"/>
  <c r="E81" i="1"/>
  <c r="F81" i="1" s="1"/>
  <c r="G81" i="1" s="1"/>
  <c r="K81" i="1" s="1"/>
  <c r="E67" i="1"/>
  <c r="E64" i="1"/>
  <c r="F64" i="1" s="1"/>
  <c r="G64" i="1" s="1"/>
  <c r="I64" i="1" s="1"/>
  <c r="E61" i="1"/>
  <c r="F61" i="1" s="1"/>
  <c r="G61" i="1" s="1"/>
  <c r="I61" i="1" s="1"/>
  <c r="E57" i="1"/>
  <c r="F57" i="1" s="1"/>
  <c r="G57" i="1" s="1"/>
  <c r="I57" i="1" s="1"/>
  <c r="E54" i="1"/>
  <c r="F54" i="1" s="1"/>
  <c r="G54" i="1" s="1"/>
  <c r="I54" i="1" s="1"/>
  <c r="E51" i="1"/>
  <c r="E36" i="1"/>
  <c r="E72" i="2" s="1"/>
  <c r="E31" i="1"/>
  <c r="E20" i="2"/>
  <c r="E52" i="2"/>
  <c r="E44" i="2"/>
  <c r="E39" i="2"/>
  <c r="E31" i="2"/>
  <c r="E23" i="2"/>
  <c r="E15" i="2"/>
  <c r="F36" i="1"/>
  <c r="G36" i="1" s="1"/>
  <c r="H36" i="1" s="1"/>
  <c r="F28" i="1"/>
  <c r="G28" i="1" s="1"/>
  <c r="H28" i="1" s="1"/>
  <c r="E54" i="2"/>
  <c r="Q43" i="1"/>
  <c r="E79" i="2"/>
  <c r="E63" i="2"/>
  <c r="E50" i="2"/>
  <c r="E49" i="2"/>
  <c r="E41" i="2"/>
  <c r="E34" i="2"/>
  <c r="E33" i="2"/>
  <c r="E18" i="2"/>
  <c r="E17" i="2"/>
  <c r="E82" i="2"/>
  <c r="E55" i="2"/>
  <c r="E42" i="2"/>
  <c r="C17" i="1"/>
  <c r="E77" i="2"/>
  <c r="E48" i="2"/>
  <c r="E40" i="2"/>
  <c r="E32" i="2"/>
  <c r="E24" i="2"/>
  <c r="E16" i="2"/>
  <c r="E43" i="1"/>
  <c r="F43" i="1" s="1"/>
  <c r="G43" i="1" s="1"/>
  <c r="H43" i="1" s="1"/>
  <c r="E81" i="2"/>
  <c r="E80" i="2"/>
  <c r="E51" i="2"/>
  <c r="E43" i="2"/>
  <c r="E35" i="2"/>
  <c r="E27" i="2"/>
  <c r="E19" i="2"/>
  <c r="C12" i="1"/>
  <c r="C11" i="1"/>
  <c r="E36" i="2" l="1"/>
  <c r="O98" i="1"/>
  <c r="O72" i="1"/>
  <c r="O69" i="1"/>
  <c r="O73" i="1"/>
  <c r="O91" i="1"/>
  <c r="O84" i="1"/>
  <c r="O90" i="1"/>
  <c r="O95" i="1"/>
  <c r="O93" i="1"/>
  <c r="O81" i="1"/>
  <c r="O83" i="1"/>
  <c r="O86" i="1"/>
  <c r="O101" i="1"/>
  <c r="O87" i="1"/>
  <c r="O96" i="1"/>
  <c r="O94" i="1"/>
  <c r="O80" i="1"/>
  <c r="O66" i="1"/>
  <c r="O92" i="1"/>
  <c r="O99" i="1"/>
  <c r="O70" i="1"/>
  <c r="O77" i="1"/>
  <c r="O75" i="1"/>
  <c r="O100" i="1"/>
  <c r="O88" i="1"/>
  <c r="O85" i="1"/>
  <c r="O76" i="1"/>
  <c r="O97" i="1"/>
  <c r="O71" i="1"/>
  <c r="O74" i="1"/>
  <c r="O89" i="1"/>
  <c r="O82" i="1"/>
  <c r="C16" i="1"/>
  <c r="D18" i="1" s="1"/>
  <c r="K92" i="1"/>
  <c r="E74" i="2"/>
  <c r="F38" i="1"/>
  <c r="G38" i="1" s="1"/>
  <c r="H38" i="1" s="1"/>
  <c r="E56" i="2"/>
  <c r="E25" i="2"/>
  <c r="E71" i="2"/>
  <c r="F23" i="1"/>
  <c r="G23" i="1" s="1"/>
  <c r="H23" i="1" s="1"/>
  <c r="E59" i="2"/>
  <c r="E69" i="2"/>
  <c r="F33" i="1"/>
  <c r="G33" i="1" s="1"/>
  <c r="H33" i="1" s="1"/>
  <c r="E21" i="2"/>
  <c r="F50" i="1"/>
  <c r="G50" i="1" s="1"/>
  <c r="I50" i="1" s="1"/>
  <c r="F30" i="1"/>
  <c r="G30" i="1" s="1"/>
  <c r="H30" i="1" s="1"/>
  <c r="E66" i="2"/>
  <c r="E26" i="2"/>
  <c r="E53" i="2"/>
  <c r="E13" i="2"/>
  <c r="F42" i="1"/>
  <c r="G42" i="1" s="1"/>
  <c r="I42" i="1" s="1"/>
  <c r="F58" i="1"/>
  <c r="G58" i="1" s="1"/>
  <c r="I58" i="1" s="1"/>
  <c r="E29" i="2"/>
  <c r="E12" i="2"/>
  <c r="F41" i="1"/>
  <c r="G41" i="1" s="1"/>
  <c r="I41" i="1" s="1"/>
  <c r="E47" i="2"/>
  <c r="F31" i="1"/>
  <c r="G31" i="1" s="1"/>
  <c r="H31" i="1" s="1"/>
  <c r="E67" i="2"/>
  <c r="F67" i="1"/>
  <c r="G67" i="1" s="1"/>
  <c r="J67" i="1" s="1"/>
  <c r="E37" i="2"/>
  <c r="F68" i="1"/>
  <c r="G68" i="1" s="1"/>
  <c r="J68" i="1" s="1"/>
  <c r="E38" i="2"/>
  <c r="F22" i="1"/>
  <c r="G22" i="1" s="1"/>
  <c r="H22" i="1" s="1"/>
  <c r="E58" i="2"/>
  <c r="F44" i="1"/>
  <c r="G44" i="1" s="1"/>
  <c r="I44" i="1" s="1"/>
  <c r="E14" i="2"/>
  <c r="E78" i="2"/>
  <c r="E76" i="2"/>
  <c r="E70" i="2"/>
  <c r="F34" i="1"/>
  <c r="G34" i="1" s="1"/>
  <c r="H34" i="1" s="1"/>
  <c r="F78" i="1"/>
  <c r="G78" i="1" s="1"/>
  <c r="J78" i="1" s="1"/>
  <c r="E45" i="2"/>
  <c r="E28" i="2"/>
  <c r="F37" i="1"/>
  <c r="G37" i="1" s="1"/>
  <c r="H37" i="1" s="1"/>
  <c r="E73" i="2"/>
  <c r="E62" i="2"/>
  <c r="F26" i="1"/>
  <c r="G26" i="1" s="1"/>
  <c r="H26" i="1" s="1"/>
  <c r="F21" i="1"/>
  <c r="G21" i="1" s="1"/>
  <c r="H21" i="1" s="1"/>
  <c r="E57" i="2"/>
  <c r="F51" i="1"/>
  <c r="G51" i="1" s="1"/>
  <c r="I51" i="1" s="1"/>
  <c r="E22" i="2"/>
  <c r="E11" i="2"/>
  <c r="F40" i="1"/>
  <c r="G40" i="1" s="1"/>
  <c r="H40" i="1" s="1"/>
  <c r="F29" i="1"/>
  <c r="G29" i="1" s="1"/>
  <c r="H29" i="1" s="1"/>
  <c r="E65" i="2"/>
  <c r="F24" i="1"/>
  <c r="G24" i="1" s="1"/>
  <c r="H24" i="1" s="1"/>
  <c r="E60" i="2"/>
  <c r="F25" i="1"/>
  <c r="G25" i="1" s="1"/>
  <c r="H25" i="1" s="1"/>
  <c r="E61" i="2"/>
  <c r="E68" i="2"/>
  <c r="F32" i="1"/>
  <c r="G32" i="1" s="1"/>
  <c r="H32" i="1" s="1"/>
  <c r="F79" i="1"/>
  <c r="G79" i="1" s="1"/>
  <c r="J79" i="1" s="1"/>
  <c r="E46" i="2"/>
  <c r="O68" i="1" l="1"/>
  <c r="C15" i="1"/>
  <c r="F18" i="1" s="1"/>
  <c r="O67" i="1"/>
  <c r="O79" i="1"/>
  <c r="O78" i="1"/>
  <c r="C18" i="1" l="1"/>
  <c r="F19" i="1"/>
</calcChain>
</file>

<file path=xl/sharedStrings.xml><?xml version="1.0" encoding="utf-8"?>
<sst xmlns="http://schemas.openxmlformats.org/spreadsheetml/2006/main" count="738" uniqueCount="402">
  <si>
    <t>BO Peg / GSC 01127-00916</t>
  </si>
  <si>
    <t>See note below.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</si>
  <si>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</si>
  <si>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</si>
  <si>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</si>
  <si>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</si>
  <si>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</si>
  <si>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</si>
  <si>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</si>
  <si>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</si>
  <si>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</si>
  <si>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</si>
  <si>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</si>
  <si>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</si>
  <si>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</si>
  <si>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</si>
  <si>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</si>
  <si>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</si>
  <si>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</si>
  <si>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</si>
  <si>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</si>
  <si>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</si>
  <si>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</si>
  <si>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</si>
  <si>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</si>
  <si>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</si>
  <si>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</si>
  <si>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</si>
  <si>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</si>
  <si>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</si>
  <si>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</si>
  <si>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</si>
  <si>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</si>
  <si>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</si>
  <si>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</si>
  <si>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</si>
  <si>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</si>
  <si>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</si>
  <si>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</si>
  <si>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</si>
  <si>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</si>
  <si>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</si>
  <si>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</si>
  <si>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</si>
  <si>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AN 255.419 </t>
  </si>
  <si>
    <t>II</t>
  </si>
  <si>
    <t> AN 255.420 </t>
  </si>
  <si>
    <t> AJ 62.375 </t>
  </si>
  <si>
    <t>I</t>
  </si>
  <si>
    <t>BBSAG Bull.30</t>
  </si>
  <si>
    <t>BBSAG Bull.45</t>
  </si>
  <si>
    <t>BBSAG Bull.49</t>
  </si>
  <si>
    <t>BBSAG Bull.50</t>
  </si>
  <si>
    <t>BBSAG Bull.78</t>
  </si>
  <si>
    <t>BBSAG Bull.96</t>
  </si>
  <si>
    <t>BBSAG Bull.97</t>
  </si>
  <si>
    <t>BBSAG Bull.99</t>
  </si>
  <si>
    <t>BBSAG Bull.102</t>
  </si>
  <si>
    <t>BBSAG Bull.103</t>
  </si>
  <si>
    <t>IBVS 4382</t>
  </si>
  <si>
    <t>BBSAG Bull.110</t>
  </si>
  <si>
    <t>BBSAG Bull.113</t>
  </si>
  <si>
    <t>GCVS 4</t>
  </si>
  <si>
    <t>BBSAG Bull.115</t>
  </si>
  <si>
    <t>BBSAG Bull.116</t>
  </si>
  <si>
    <t>IBVS 4606</t>
  </si>
  <si>
    <t> BBS 121 </t>
  </si>
  <si>
    <t>IBVS 5017</t>
  </si>
  <si>
    <t>OEJV 0074</t>
  </si>
  <si>
    <t>IBVS 5040</t>
  </si>
  <si>
    <t>IBVS 5583</t>
  </si>
  <si>
    <t>IBVS 5296</t>
  </si>
  <si>
    <t> BBS 126 </t>
  </si>
  <si>
    <t>2013JAVSO..41..122</t>
  </si>
  <si>
    <t>IBVS 5493</t>
  </si>
  <si>
    <t>IBVS 5657</t>
  </si>
  <si>
    <t>IBVS 5653</t>
  </si>
  <si>
    <t>IBVS 5731</t>
  </si>
  <si>
    <t>IBVS 5802</t>
  </si>
  <si>
    <t>VSB 45 </t>
  </si>
  <si>
    <t>IBVS 5746</t>
  </si>
  <si>
    <t>IBVS 5870</t>
  </si>
  <si>
    <t> JAAVSO 39;102 </t>
  </si>
  <si>
    <t>JAVSO..38..183</t>
  </si>
  <si>
    <t>IBVS 5997</t>
  </si>
  <si>
    <t>IBVS 5960</t>
  </si>
  <si>
    <t>IBVS 6084</t>
  </si>
  <si>
    <t>JAVSO..44…69</t>
  </si>
  <si>
    <t>JAVSO..45..121</t>
  </si>
  <si>
    <t>JAVSO..47..105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</si>
  <si>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</si>
  <si>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</si>
  <si>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</si>
  <si>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</si>
  <si>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</si>
  <si>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</si>
  <si>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</si>
  <si>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</si>
  <si>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2443042.342 </t>
  </si>
  <si>
    <t> 20.09.1976 20:12 </t>
  </si>
  <si>
    <t> 0.163 </t>
  </si>
  <si>
    <t>V </t>
  </si>
  <si>
    <t> H.Peter </t>
  </si>
  <si>
    <t> BBS 30 </t>
  </si>
  <si>
    <t>2444194.337 </t>
  </si>
  <si>
    <t> 16.11.1979 20:05 </t>
  </si>
  <si>
    <t> 0.005 </t>
  </si>
  <si>
    <t> BBS 45 </t>
  </si>
  <si>
    <t>2444201.296 </t>
  </si>
  <si>
    <t> 23.11.1979 19:06 </t>
  </si>
  <si>
    <t> -0.001 </t>
  </si>
  <si>
    <t>2444458.426 </t>
  </si>
  <si>
    <t> 06.08.1980 22:13 </t>
  </si>
  <si>
    <t> -0.002 </t>
  </si>
  <si>
    <t> R.Diethelm </t>
  </si>
  <si>
    <t> BBS 49 </t>
  </si>
  <si>
    <t>2444458.439 </t>
  </si>
  <si>
    <t> 06.08.1980 22:32 </t>
  </si>
  <si>
    <t> 0.011 </t>
  </si>
  <si>
    <t>2444490.354 </t>
  </si>
  <si>
    <t> 07.09.1980 20:29 </t>
  </si>
  <si>
    <t> 0.002 </t>
  </si>
  <si>
    <t> BBS 50 </t>
  </si>
  <si>
    <t>2444490.355 </t>
  </si>
  <si>
    <t> 07.09.1980 20:31 </t>
  </si>
  <si>
    <t> 0.003 </t>
  </si>
  <si>
    <t>2445612.323 </t>
  </si>
  <si>
    <t> 04.10.1983 19:45 </t>
  </si>
  <si>
    <t> 0.000 </t>
  </si>
  <si>
    <t> R.Germann </t>
  </si>
  <si>
    <t> BBS 69 </t>
  </si>
  <si>
    <t>2446298.388 </t>
  </si>
  <si>
    <t> 20.08.1985 21:18 </t>
  </si>
  <si>
    <t> -0.003 </t>
  </si>
  <si>
    <t> BBS 78 </t>
  </si>
  <si>
    <t>2448189.423 </t>
  </si>
  <si>
    <t> 24.10.1990 22:09 </t>
  </si>
  <si>
    <t> -0.010 </t>
  </si>
  <si>
    <t> BBS 96 </t>
  </si>
  <si>
    <t>2448203.358 </t>
  </si>
  <si>
    <t> 07.11.1990 20:35 </t>
  </si>
  <si>
    <t> -0.005 </t>
  </si>
  <si>
    <t> BBS 97 </t>
  </si>
  <si>
    <t>2448517.375 </t>
  </si>
  <si>
    <t> 17.09.1991 21:00 </t>
  </si>
  <si>
    <t> BBS 99 </t>
  </si>
  <si>
    <t>2448892.332 </t>
  </si>
  <si>
    <t> 26.09.1992 19:58 </t>
  </si>
  <si>
    <t> BBS 102 </t>
  </si>
  <si>
    <t>2448946.321 </t>
  </si>
  <si>
    <t> 19.11.1992 19:42 </t>
  </si>
  <si>
    <t> 0.008 </t>
  </si>
  <si>
    <t>2448971.264 </t>
  </si>
  <si>
    <t> 14.12.1992 18:20 </t>
  </si>
  <si>
    <t> -0.008 </t>
  </si>
  <si>
    <t> BBS 103 </t>
  </si>
  <si>
    <t>2450014.2900 </t>
  </si>
  <si>
    <t> 23.10.1995 18:57 </t>
  </si>
  <si>
    <t> -0.0149 </t>
  </si>
  <si>
    <t>E </t>
  </si>
  <si>
    <t>o</t>
  </si>
  <si>
    <t> W.Kleikamp </t>
  </si>
  <si>
    <t>BAVM 90 </t>
  </si>
  <si>
    <t>2450014.305 </t>
  </si>
  <si>
    <t> 23.10.1995 19:19 </t>
  </si>
  <si>
    <t> BBS 110 </t>
  </si>
  <si>
    <t>2450314.376 </t>
  </si>
  <si>
    <t> 18.08.1996 21:01 </t>
  </si>
  <si>
    <t> -0.011 </t>
  </si>
  <si>
    <t> BBS 113 </t>
  </si>
  <si>
    <t>2450332.367 </t>
  </si>
  <si>
    <t> 05.09.1996 20:48 </t>
  </si>
  <si>
    <t> -0.014 </t>
  </si>
  <si>
    <t>2450343.403 </t>
  </si>
  <si>
    <t> 16.09.1996 21:40 </t>
  </si>
  <si>
    <t> -0.006 </t>
  </si>
  <si>
    <t>2450357.323 </t>
  </si>
  <si>
    <t> 30.09.1996 19:45 </t>
  </si>
  <si>
    <t> -0.016 </t>
  </si>
  <si>
    <t>2450639.405 </t>
  </si>
  <si>
    <t> 09.07.1997 21:43 </t>
  </si>
  <si>
    <t> -0.023 </t>
  </si>
  <si>
    <t> BBS 115 </t>
  </si>
  <si>
    <t>2450675.411 </t>
  </si>
  <si>
    <t> 14.08.1997 21:51 </t>
  </si>
  <si>
    <t> -0.004 </t>
  </si>
  <si>
    <t>2450700.352 </t>
  </si>
  <si>
    <t> 08.09.1997 20:26 </t>
  </si>
  <si>
    <t> -0.021 </t>
  </si>
  <si>
    <t> BBS 116 </t>
  </si>
  <si>
    <t>2450747.374 </t>
  </si>
  <si>
    <t> 25.10.1997 20:58 </t>
  </si>
  <si>
    <t>2450750.2738 </t>
  </si>
  <si>
    <t> 28.10.1997 18:34 </t>
  </si>
  <si>
    <t> -0.0164 </t>
  </si>
  <si>
    <t>BAVM 111 </t>
  </si>
  <si>
    <t>2451486.2571 </t>
  </si>
  <si>
    <t> 03.11.1999 18:10 </t>
  </si>
  <si>
    <t> -0.0185 </t>
  </si>
  <si>
    <t>-I</t>
  </si>
  <si>
    <t>BAVM 133 </t>
  </si>
  <si>
    <t>2451797.371 </t>
  </si>
  <si>
    <t> 09.09.2000 20:54 </t>
  </si>
  <si>
    <t>10656</t>
  </si>
  <si>
    <t> -0.015 </t>
  </si>
  <si>
    <t> J.Zahajský </t>
  </si>
  <si>
    <t>OEJV 0074 </t>
  </si>
  <si>
    <t>2452141.5598 </t>
  </si>
  <si>
    <t> 20.08.2001 01:26 </t>
  </si>
  <si>
    <t>11249</t>
  </si>
  <si>
    <t> -0.0214 </t>
  </si>
  <si>
    <t>R</t>
  </si>
  <si>
    <t> M.Zejda </t>
  </si>
  <si>
    <t>IBVS 5583 </t>
  </si>
  <si>
    <t>2452151.4263 </t>
  </si>
  <si>
    <t> 29.08.2001 22:13 </t>
  </si>
  <si>
    <t>11266</t>
  </si>
  <si>
    <t> -0.0222 </t>
  </si>
  <si>
    <t> K.Poschinger </t>
  </si>
  <si>
    <t>BAVM 152 </t>
  </si>
  <si>
    <t>2452503.7466 </t>
  </si>
  <si>
    <t> 17.08.2002 05:55 </t>
  </si>
  <si>
    <t>11873</t>
  </si>
  <si>
    <t> -0.0230 </t>
  </si>
  <si>
    <t>C </t>
  </si>
  <si>
    <t> S.Dvorak </t>
  </si>
  <si>
    <t> JAAVSO 41;122 </t>
  </si>
  <si>
    <t>2452834.8796 </t>
  </si>
  <si>
    <t> 14.07.2003 09:06 </t>
  </si>
  <si>
    <t>12443.5</t>
  </si>
  <si>
    <t> -0.0253 </t>
  </si>
  <si>
    <t>?</t>
  </si>
  <si>
    <t> R.H.Nelson </t>
  </si>
  <si>
    <t>IBVS 5493 </t>
  </si>
  <si>
    <t>2453287.3252 </t>
  </si>
  <si>
    <t> 08.10.2004 19:48 </t>
  </si>
  <si>
    <t>13223</t>
  </si>
  <si>
    <t> -0.0250 </t>
  </si>
  <si>
    <t>BAVM 173 </t>
  </si>
  <si>
    <t>2453341.3049 </t>
  </si>
  <si>
    <t> 01.12.2004 19:19 </t>
  </si>
  <si>
    <t>13316</t>
  </si>
  <si>
    <t> E. Blättler </t>
  </si>
  <si>
    <t>IBVS 5653 </t>
  </si>
  <si>
    <t>2453648.3473 </t>
  </si>
  <si>
    <t> 04.10.2005 20:20 </t>
  </si>
  <si>
    <t>13845</t>
  </si>
  <si>
    <t> -0.0304 </t>
  </si>
  <si>
    <t> Poschinger </t>
  </si>
  <si>
    <t>BAVM 178 </t>
  </si>
  <si>
    <t>2453941.4686 </t>
  </si>
  <si>
    <t> 24.07.2006 23:14 </t>
  </si>
  <si>
    <t>14350</t>
  </si>
  <si>
    <t> -0.0263 </t>
  </si>
  <si>
    <t> K.&amp; M.Rätz </t>
  </si>
  <si>
    <t>BAVM 186 </t>
  </si>
  <si>
    <t>2453991.3807 </t>
  </si>
  <si>
    <t> 12.09.2006 21:08 </t>
  </si>
  <si>
    <t>14436</t>
  </si>
  <si>
    <t> -0.0312 </t>
  </si>
  <si>
    <t> S. Dogru et al. </t>
  </si>
  <si>
    <t>IBVS 5746 </t>
  </si>
  <si>
    <t>2454048.26658 </t>
  </si>
  <si>
    <t> 08.11.2006 18:23 </t>
  </si>
  <si>
    <t>14534</t>
  </si>
  <si>
    <t> -0.02749 </t>
  </si>
  <si>
    <t> R.Ehrenberger </t>
  </si>
  <si>
    <t>2454055.23199 </t>
  </si>
  <si>
    <t> 15.11.2006 17:34 </t>
  </si>
  <si>
    <t>14546</t>
  </si>
  <si>
    <t> -0.02724 </t>
  </si>
  <si>
    <t>2454788.6056 </t>
  </si>
  <si>
    <t> 18.11.2008 02:32 </t>
  </si>
  <si>
    <t>15809.5</t>
  </si>
  <si>
    <t> -0.0271 </t>
  </si>
  <si>
    <t>IBVS 5870 </t>
  </si>
  <si>
    <t>2454793.5362 </t>
  </si>
  <si>
    <t> 23.11.2008 00:52 </t>
  </si>
  <si>
    <t>15818</t>
  </si>
  <si>
    <t> -0.0301 </t>
  </si>
  <si>
    <t>2455116.2506 </t>
  </si>
  <si>
    <t> 11.10.2009 18:00 </t>
  </si>
  <si>
    <t>16374</t>
  </si>
  <si>
    <t> -0.0349 </t>
  </si>
  <si>
    <t>ns</t>
  </si>
  <si>
    <t> Y.Ogmen </t>
  </si>
  <si>
    <t> JAAVSO 38;120 </t>
  </si>
  <si>
    <t>2455135.4101 </t>
  </si>
  <si>
    <t> 30.10.2009 21:50 </t>
  </si>
  <si>
    <t>16407</t>
  </si>
  <si>
    <t> -0.0296 </t>
  </si>
  <si>
    <t> G.Corfini </t>
  </si>
  <si>
    <t>IBVS 5997 </t>
  </si>
  <si>
    <t>2455147.3105 </t>
  </si>
  <si>
    <t> 11.11.2009 19:27 </t>
  </si>
  <si>
    <t>16427.5</t>
  </si>
  <si>
    <t> -0.0280 </t>
  </si>
  <si>
    <t>2455383.8329 </t>
  </si>
  <si>
    <t> 06.07.2010 07:59 </t>
  </si>
  <si>
    <t>16835</t>
  </si>
  <si>
    <t> -0.0308 </t>
  </si>
  <si>
    <t>IBVS 5960 </t>
  </si>
  <si>
    <t>2456135.4829 </t>
  </si>
  <si>
    <t> 26.07.2012 23:35 </t>
  </si>
  <si>
    <t>18130</t>
  </si>
  <si>
    <t> -0.0378 </t>
  </si>
  <si>
    <t>-U;-I</t>
  </si>
  <si>
    <t> K. &amp; M.Rätz </t>
  </si>
  <si>
    <t>BAVM 232 </t>
  </si>
  <si>
    <t>2426223.531 </t>
  </si>
  <si>
    <t> 04.09.1930 00:44 </t>
  </si>
  <si>
    <t> 1.346 </t>
  </si>
  <si>
    <t>P </t>
  </si>
  <si>
    <t> A.Jensch </t>
  </si>
  <si>
    <t>2426244.392 </t>
  </si>
  <si>
    <t> 24.09.1930 21:24 </t>
  </si>
  <si>
    <t> 1.312 </t>
  </si>
  <si>
    <t>2426333.238 </t>
  </si>
  <si>
    <t> 22.12.1930 17:42 </t>
  </si>
  <si>
    <t> 1.352 </t>
  </si>
  <si>
    <t>2427655.450 </t>
  </si>
  <si>
    <t> 05.08.1934 22:48 </t>
  </si>
  <si>
    <t> 1.344 </t>
  </si>
  <si>
    <t>2427658.362 </t>
  </si>
  <si>
    <t> 08.08.1934 20:41 </t>
  </si>
  <si>
    <t> 1.354 </t>
  </si>
  <si>
    <t>2427666.500 </t>
  </si>
  <si>
    <t> 17.08.1934 00:00 </t>
  </si>
  <si>
    <t> 1.366 </t>
  </si>
  <si>
    <t>2427684.490 </t>
  </si>
  <si>
    <t> 03.09.1934 23:45 </t>
  </si>
  <si>
    <t> 1.363 </t>
  </si>
  <si>
    <t>2427685.630 </t>
  </si>
  <si>
    <t> 05.09.1934 03:07 </t>
  </si>
  <si>
    <t> 1.342 </t>
  </si>
  <si>
    <t>2427688.547 </t>
  </si>
  <si>
    <t> 08.09.1934 01:07 </t>
  </si>
  <si>
    <t> 1.357 </t>
  </si>
  <si>
    <t>2427691.450 </t>
  </si>
  <si>
    <t> 10.09.1934 22:48 </t>
  </si>
  <si>
    <t>2427699.580 </t>
  </si>
  <si>
    <t> 19.09.1934 01:55 </t>
  </si>
  <si>
    <t> 1.361 </t>
  </si>
  <si>
    <t>2427745.426 </t>
  </si>
  <si>
    <t> 03.11.1934 22:13 </t>
  </si>
  <si>
    <t> 1.353 </t>
  </si>
  <si>
    <t>2432005.793 </t>
  </si>
  <si>
    <t> 04.07.1946 07:01 </t>
  </si>
  <si>
    <t> 1.073 </t>
  </si>
  <si>
    <t>F </t>
  </si>
  <si>
    <t> B.S.Whitney </t>
  </si>
  <si>
    <t>2432799.842 </t>
  </si>
  <si>
    <t> 05.09.1948 08:12 </t>
  </si>
  <si>
    <t> 1.094 </t>
  </si>
  <si>
    <t>2433584.599 </t>
  </si>
  <si>
    <t> 30.10.1950 02:22 </t>
  </si>
  <si>
    <t> 1.109 </t>
  </si>
  <si>
    <t>2433981.612 </t>
  </si>
  <si>
    <t> 01.12.1951 02:41 </t>
  </si>
  <si>
    <t> 1.108 </t>
  </si>
  <si>
    <t>2434245.705 </t>
  </si>
  <si>
    <t> 21.08.1952 04:55 </t>
  </si>
  <si>
    <t> 1.106 </t>
  </si>
  <si>
    <t>2434627.642 </t>
  </si>
  <si>
    <t> 07.09.1953 03:24 </t>
  </si>
  <si>
    <t> 1.120 </t>
  </si>
  <si>
    <t>2435002.600 </t>
  </si>
  <si>
    <t> 17.09.1954 02:24 </t>
  </si>
  <si>
    <t>2451479.2916 </t>
  </si>
  <si>
    <t> 27.10.1999 18:59 </t>
  </si>
  <si>
    <t> -0.0189 </t>
  </si>
  <si>
    <t>G</t>
  </si>
  <si>
    <t>2451814.7788 </t>
  </si>
  <si>
    <t> 27.09.2000 06:41 </t>
  </si>
  <si>
    <t>10686</t>
  </si>
  <si>
    <t> -0.0202 </t>
  </si>
  <si>
    <t>IBVS 5040 </t>
  </si>
  <si>
    <t>2452194.3776 </t>
  </si>
  <si>
    <t> 11.10.2001 21:03 </t>
  </si>
  <si>
    <t>11340</t>
  </si>
  <si>
    <t> -0.0227 </t>
  </si>
  <si>
    <t> E.Blättler </t>
  </si>
  <si>
    <t>2453950.1759 </t>
  </si>
  <si>
    <t> 02.08.2006 16:13 </t>
  </si>
  <si>
    <t>14365</t>
  </si>
  <si>
    <t> -0.0255 </t>
  </si>
  <si>
    <t> K. Nagai et al. </t>
  </si>
  <si>
    <t>2453984.1318 </t>
  </si>
  <si>
    <t> 05.09.2006 15:09 </t>
  </si>
  <si>
    <t>14423.5</t>
  </si>
  <si>
    <t> -0.0247 </t>
  </si>
  <si>
    <t>2455070.3930 </t>
  </si>
  <si>
    <t> 26.08.2009 21:25 </t>
  </si>
  <si>
    <t>16295</t>
  </si>
  <si>
    <t> -0.0385 </t>
  </si>
  <si>
    <t> M.Vincenzi </t>
  </si>
  <si>
    <t>2455077.3651 </t>
  </si>
  <si>
    <t> 02.09.2009 20:45 </t>
  </si>
  <si>
    <t>16307</t>
  </si>
  <si>
    <t> -0.0315 </t>
  </si>
  <si>
    <t>JAVSO 49, 256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</si>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</sst>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7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5" fillId="0" borderId="0"/>
    <xf numFmtId="0" fontId="15" fillId="0" borderId="0"/>
  </cellStyleXfs>
  <cellXfs count="74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Font="1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5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/>
    <xf numFmtId="166" fontId="0" fillId="0" borderId="0" xfId="0" applyNumberFormat="1" applyAlignment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10" fillId="0" borderId="0" xfId="0" applyFont="1" applyAlignment="1"/>
    <xf numFmtId="0" fontId="9" fillId="0" borderId="0" xfId="0" applyFont="1" applyAlignment="1">
      <alignment horizontal="left"/>
    </xf>
    <xf numFmtId="167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6" applyFont="1" applyAlignment="1">
      <alignment horizontal="left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4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4" fillId="2" borderId="10" xfId="5" applyNumberFormat="1" applyFont="1" applyFill="1" applyBorder="1" applyAlignment="1" applyProtection="1">
      <alignment horizontal="right" vertical="top" wrapText="1"/>
    </xf>
    <xf numFmtId="0" fontId="11" fillId="0" borderId="0" xfId="0" applyFont="1" applyAlignme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7" fontId="16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Peg - O-C Diagr.</a:t>
            </a:r>
          </a:p>
        </c:rich>
      </c:tx>
      <c:layout>
        <c:manualLayout>
          <c:xMode val="edge"/>
          <c:yMode val="edge"/>
          <c:x val="0.3699518739479051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34375"/>
          <c:w val="0.8045240595056759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Active!$H$21:$H$99</c:f>
              <c:numCache>
                <c:formatCode>General</c:formatCode>
                <c:ptCount val="79"/>
                <c:pt idx="0">
                  <c:v>-0.10493959999803337</c:v>
                </c:pt>
                <c:pt idx="1">
                  <c:v>-0.13942319999841857</c:v>
                </c:pt>
                <c:pt idx="2">
                  <c:v>-9.9228499995660968E-2</c:v>
                </c:pt>
                <c:pt idx="3">
                  <c:v>-0.10699629999726312</c:v>
                </c:pt>
                <c:pt idx="4">
                  <c:v>-9.7146799998881761E-2</c:v>
                </c:pt>
                <c:pt idx="5">
                  <c:v>-8.516819999931613E-2</c:v>
                </c:pt>
                <c:pt idx="6">
                  <c:v>-8.8501299997005844E-2</c:v>
                </c:pt>
                <c:pt idx="7">
                  <c:v>-0.10936149999542977</c:v>
                </c:pt>
                <c:pt idx="8">
                  <c:v>-9.4511999999667751E-2</c:v>
                </c:pt>
                <c:pt idx="9">
                  <c:v>-9.3662499995843973E-2</c:v>
                </c:pt>
                <c:pt idx="10">
                  <c:v>-8.9683899997908156E-2</c:v>
                </c:pt>
                <c:pt idx="11">
                  <c:v>-9.7661799998604693E-2</c:v>
                </c:pt>
                <c:pt idx="12">
                  <c:v>-8.7595799996051937E-2</c:v>
                </c:pt>
                <c:pt idx="13">
                  <c:v>-6.6972599997825455E-2</c:v>
                </c:pt>
                <c:pt idx="14">
                  <c:v>-5.1467799996316899E-2</c:v>
                </c:pt>
                <c:pt idx="15">
                  <c:v>-5.2656199994089548E-2</c:v>
                </c:pt>
                <c:pt idx="16">
                  <c:v>-5.5351699993479997E-2</c:v>
                </c:pt>
                <c:pt idx="17">
                  <c:v>-4.1357499998412095E-2</c:v>
                </c:pt>
                <c:pt idx="18">
                  <c:v>-4.1202100001100916E-2</c:v>
                </c:pt>
                <c:pt idx="19">
                  <c:v>-0.12673224999889499</c:v>
                </c:pt>
                <c:pt idx="22">
                  <c:v>-8.516819999931613E-2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49-4D19-83D1-C00EA4C433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Active!$I$21:$I$99</c:f>
              <c:numCache>
                <c:formatCode>General</c:formatCode>
                <c:ptCount val="79"/>
                <c:pt idx="20">
                  <c:v>4.7343000042019412E-3</c:v>
                </c:pt>
                <c:pt idx="21">
                  <c:v>-1.4268999948399141E-3</c:v>
                </c:pt>
                <c:pt idx="23">
                  <c:v>-1.9611999960034154E-3</c:v>
                </c:pt>
                <c:pt idx="24">
                  <c:v>1.1038800003007054E-2</c:v>
                </c:pt>
                <c:pt idx="25">
                  <c:v>2.3833000013837591E-3</c:v>
                </c:pt>
                <c:pt idx="26">
                  <c:v>3.3833000052254647E-3</c:v>
                </c:pt>
                <c:pt idx="27">
                  <c:v>-3.378199995495379E-3</c:v>
                </c:pt>
                <c:pt idx="28">
                  <c:v>-9.6439999906579033E-3</c:v>
                </c:pt>
                <c:pt idx="29">
                  <c:v>-4.9663999961921945E-3</c:v>
                </c:pt>
                <c:pt idx="30">
                  <c:v>-6.5049999830080196E-4</c:v>
                </c:pt>
                <c:pt idx="31">
                  <c:v>-1.4950999975553714E-3</c:v>
                </c:pt>
                <c:pt idx="32">
                  <c:v>7.5056000059703365E-3</c:v>
                </c:pt>
                <c:pt idx="33">
                  <c:v>-7.9886999956215732E-3</c:v>
                </c:pt>
                <c:pt idx="35">
                  <c:v>1.216000018757768E-4</c:v>
                </c:pt>
                <c:pt idx="36">
                  <c:v>-1.1240100000577513E-2</c:v>
                </c:pt>
                <c:pt idx="37">
                  <c:v>-1.3573199998063501E-2</c:v>
                </c:pt>
                <c:pt idx="38">
                  <c:v>-5.7450999956927262E-3</c:v>
                </c:pt>
                <c:pt idx="39">
                  <c:v>-1.6067500000644941E-2</c:v>
                </c:pt>
                <c:pt idx="40">
                  <c:v>-2.3096099997928832E-2</c:v>
                </c:pt>
                <c:pt idx="41">
                  <c:v>-3.7622999952873215E-3</c:v>
                </c:pt>
                <c:pt idx="42">
                  <c:v>-2.1256599997286685E-2</c:v>
                </c:pt>
                <c:pt idx="43">
                  <c:v>-1.4094699996348936E-2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49-4D19-83D1-C00EA4C4338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Active!$J$21:$J$99</c:f>
              <c:numCache>
                <c:formatCode>General</c:formatCode>
                <c:ptCount val="79"/>
                <c:pt idx="34">
                  <c:v>-1.4878399997542147E-2</c:v>
                </c:pt>
                <c:pt idx="44">
                  <c:v>-1.6445199995359872E-2</c:v>
                </c:pt>
                <c:pt idx="45">
                  <c:v>-1.8850799999199808E-2</c:v>
                </c:pt>
                <c:pt idx="46">
                  <c:v>-1.8511999995098449E-2</c:v>
                </c:pt>
                <c:pt idx="47">
                  <c:v>-1.5145599994866643E-2</c:v>
                </c:pt>
                <c:pt idx="51">
                  <c:v>-2.2206599998753518E-2</c:v>
                </c:pt>
                <c:pt idx="52">
                  <c:v>-2.2733999998308718E-2</c:v>
                </c:pt>
                <c:pt idx="55">
                  <c:v>-2.5012299993250053E-2</c:v>
                </c:pt>
                <c:pt idx="57">
                  <c:v>-3.0434499996772502E-2</c:v>
                </c:pt>
                <c:pt idx="58">
                  <c:v>-2.6334999995015096E-2</c:v>
                </c:pt>
                <c:pt idx="72">
                  <c:v>-3.7812999995367136E-2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49-4D19-83D1-C00EA4C4338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Active!$K$21:$K$99</c:f>
              <c:numCache>
                <c:formatCode>General</c:formatCode>
                <c:ptCount val="79"/>
                <c:pt idx="48">
                  <c:v>-2.0282017278077547E-2</c:v>
                </c:pt>
                <c:pt idx="49">
                  <c:v>-2.1394899995357264E-2</c:v>
                </c:pt>
                <c:pt idx="50">
                  <c:v>-2.1394899995357264E-2</c:v>
                </c:pt>
                <c:pt idx="53">
                  <c:v>-2.2977299995545764E-2</c:v>
                </c:pt>
                <c:pt idx="54">
                  <c:v>-2.5349349998577964E-2</c:v>
                </c:pt>
                <c:pt idx="56">
                  <c:v>-2.5311599994893186E-2</c:v>
                </c:pt>
                <c:pt idx="59">
                  <c:v>-2.5486499995167833E-2</c:v>
                </c:pt>
                <c:pt idx="60">
                  <c:v>-2.4747349991230294E-2</c:v>
                </c:pt>
                <c:pt idx="61">
                  <c:v>-3.1223599995428231E-2</c:v>
                </c:pt>
                <c:pt idx="62">
                  <c:v>-2.7493399997183587E-2</c:v>
                </c:pt>
                <c:pt idx="63">
                  <c:v>-2.7244599994446617E-2</c:v>
                </c:pt>
                <c:pt idx="64">
                  <c:v>-2.706594999472145E-2</c:v>
                </c:pt>
                <c:pt idx="65">
                  <c:v>-3.0121799994958565E-2</c:v>
                </c:pt>
                <c:pt idx="66">
                  <c:v>-3.847949999908451E-2</c:v>
                </c:pt>
                <c:pt idx="67">
                  <c:v>-3.154069999436615E-2</c:v>
                </c:pt>
                <c:pt idx="68">
                  <c:v>-3.4857399994507432E-2</c:v>
                </c:pt>
                <c:pt idx="69">
                  <c:v>-2.9550699997344054E-2</c:v>
                </c:pt>
                <c:pt idx="70">
                  <c:v>-2.7967750000243541E-2</c:v>
                </c:pt>
                <c:pt idx="71">
                  <c:v>-3.0833499993605074E-2</c:v>
                </c:pt>
                <c:pt idx="73">
                  <c:v>-4.3288799992296845E-2</c:v>
                </c:pt>
                <c:pt idx="74">
                  <c:v>-4.490599999553524E-2</c:v>
                </c:pt>
                <c:pt idx="75">
                  <c:v>-4.620529999374412E-2</c:v>
                </c:pt>
                <c:pt idx="76">
                  <c:v>-4.9422499992942903E-2</c:v>
                </c:pt>
                <c:pt idx="77">
                  <c:v>-5.7528099991031922E-2</c:v>
                </c:pt>
                <c:pt idx="78">
                  <c:v>-6.0977699999057222E-2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49-4D19-83D1-C00EA4C4338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Active!$L$21:$L$99</c:f>
              <c:numCache>
                <c:formatCode>General</c:formatCode>
                <c:ptCount val="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49-4D19-83D1-C00EA4C433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Active!$M$21:$M$99</c:f>
              <c:numCache>
                <c:formatCode>General</c:formatCode>
                <c:ptCount val="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49-4D19-83D1-C00EA4C433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Active!$N$21:$N$99</c:f>
              <c:numCache>
                <c:formatCode>General</c:formatCode>
                <c:ptCount val="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49-4D19-83D1-C00EA4C433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Active!$O$21:$O$99</c:f>
              <c:numCache>
                <c:formatCode>General</c:formatCode>
                <c:ptCount val="79"/>
                <c:pt idx="45">
                  <c:v>5.8283185111957861E-3</c:v>
                </c:pt>
                <c:pt idx="46">
                  <c:v>5.7648204022654678E-3</c:v>
                </c:pt>
                <c:pt idx="47">
                  <c:v>2.9285715367109999E-3</c:v>
                </c:pt>
                <c:pt idx="48">
                  <c:v>2.7698262643851904E-3</c:v>
                </c:pt>
                <c:pt idx="49">
                  <c:v>-2.09293346262511E-4</c:v>
                </c:pt>
                <c:pt idx="50">
                  <c:v>-2.09293346262511E-4</c:v>
                </c:pt>
                <c:pt idx="51">
                  <c:v>-2.9924900058046766E-4</c:v>
                </c:pt>
                <c:pt idx="52">
                  <c:v>-6.908206723174673E-4</c:v>
                </c:pt>
                <c:pt idx="53">
                  <c:v>-3.5111950106393591E-3</c:v>
                </c:pt>
                <c:pt idx="54">
                  <c:v>-6.5300009393685077E-3</c:v>
                </c:pt>
                <c:pt idx="55">
                  <c:v>-1.0654732265300795E-2</c:v>
                </c:pt>
                <c:pt idx="56">
                  <c:v>-1.1146842609510807E-2</c:v>
                </c:pt>
                <c:pt idx="57">
                  <c:v>-1.3946050911522581E-2</c:v>
                </c:pt>
                <c:pt idx="58">
                  <c:v>-1.6618262995673719E-2</c:v>
                </c:pt>
                <c:pt idx="59">
                  <c:v>-1.6697635631836613E-2</c:v>
                </c:pt>
                <c:pt idx="60">
                  <c:v>-1.7007188912871951E-2</c:v>
                </c:pt>
                <c:pt idx="61">
                  <c:v>-1.707333277634103E-2</c:v>
                </c:pt>
                <c:pt idx="62">
                  <c:v>-1.7591900665938673E-2</c:v>
                </c:pt>
                <c:pt idx="63">
                  <c:v>-1.7655398774869005E-2</c:v>
                </c:pt>
                <c:pt idx="64">
                  <c:v>-2.4341220494324356E-2</c:v>
                </c:pt>
                <c:pt idx="65">
                  <c:v>-2.4386198321483338E-2</c:v>
                </c:pt>
                <c:pt idx="66">
                  <c:v>-2.6910248151463714E-2</c:v>
                </c:pt>
                <c:pt idx="67">
                  <c:v>-2.6973746260394033E-2</c:v>
                </c:pt>
                <c:pt idx="68">
                  <c:v>-2.7328277368588338E-2</c:v>
                </c:pt>
                <c:pt idx="69">
                  <c:v>-2.7502897168146731E-2</c:v>
                </c:pt>
                <c:pt idx="70">
                  <c:v>-2.7611373104236045E-2</c:v>
                </c:pt>
                <c:pt idx="71">
                  <c:v>-2.9767663053328286E-2</c:v>
                </c:pt>
                <c:pt idx="72">
                  <c:v>-3.6620167308725748E-2</c:v>
                </c:pt>
                <c:pt idx="73">
                  <c:v>-4.3806036636007406E-2</c:v>
                </c:pt>
                <c:pt idx="74">
                  <c:v>-4.6832779828352836E-2</c:v>
                </c:pt>
                <c:pt idx="75">
                  <c:v>-4.7324890172562847E-2</c:v>
                </c:pt>
                <c:pt idx="76">
                  <c:v>-5.0351633364908291E-2</c:v>
                </c:pt>
                <c:pt idx="77">
                  <c:v>-5.6997768766282195E-2</c:v>
                </c:pt>
                <c:pt idx="78">
                  <c:v>-6.0680659084240973E-2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49-4D19-83D1-C00EA4C4338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Active!$U$21:$U$99</c:f>
              <c:numCache>
                <c:formatCode>General</c:formatCode>
                <c:ptCount val="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49-4D19-83D1-C00EA4C43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19432"/>
        <c:axId val="1"/>
      </c:scatterChart>
      <c:valAx>
        <c:axId val="42991943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1"/>
          <c:min val="-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919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78046039883141"/>
          <c:y val="0.91249999999999998"/>
          <c:w val="0.7576743456340978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Peg - O-C Diagr.</a:t>
            </a:r>
          </a:p>
        </c:rich>
      </c:tx>
      <c:layout>
        <c:manualLayout>
          <c:xMode val="edge"/>
          <c:yMode val="edge"/>
          <c:x val="0.36774193548387096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16129032258064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Active!$H$21:$H$99</c:f>
              <c:numCache>
                <c:formatCode>General</c:formatCode>
                <c:ptCount val="79"/>
                <c:pt idx="0">
                  <c:v>-0.10493959999803337</c:v>
                </c:pt>
                <c:pt idx="1">
                  <c:v>-0.13942319999841857</c:v>
                </c:pt>
                <c:pt idx="2">
                  <c:v>-9.9228499995660968E-2</c:v>
                </c:pt>
                <c:pt idx="3">
                  <c:v>-0.10699629999726312</c:v>
                </c:pt>
                <c:pt idx="4">
                  <c:v>-9.7146799998881761E-2</c:v>
                </c:pt>
                <c:pt idx="5">
                  <c:v>-8.516819999931613E-2</c:v>
                </c:pt>
                <c:pt idx="6">
                  <c:v>-8.8501299997005844E-2</c:v>
                </c:pt>
                <c:pt idx="7">
                  <c:v>-0.10936149999542977</c:v>
                </c:pt>
                <c:pt idx="8">
                  <c:v>-9.4511999999667751E-2</c:v>
                </c:pt>
                <c:pt idx="9">
                  <c:v>-9.3662499995843973E-2</c:v>
                </c:pt>
                <c:pt idx="10">
                  <c:v>-8.9683899997908156E-2</c:v>
                </c:pt>
                <c:pt idx="11">
                  <c:v>-9.7661799998604693E-2</c:v>
                </c:pt>
                <c:pt idx="12">
                  <c:v>-8.7595799996051937E-2</c:v>
                </c:pt>
                <c:pt idx="13">
                  <c:v>-6.6972599997825455E-2</c:v>
                </c:pt>
                <c:pt idx="14">
                  <c:v>-5.1467799996316899E-2</c:v>
                </c:pt>
                <c:pt idx="15">
                  <c:v>-5.2656199994089548E-2</c:v>
                </c:pt>
                <c:pt idx="16">
                  <c:v>-5.5351699993479997E-2</c:v>
                </c:pt>
                <c:pt idx="17">
                  <c:v>-4.1357499998412095E-2</c:v>
                </c:pt>
                <c:pt idx="18">
                  <c:v>-4.1202100001100916E-2</c:v>
                </c:pt>
                <c:pt idx="19">
                  <c:v>-0.12673224999889499</c:v>
                </c:pt>
                <c:pt idx="22">
                  <c:v>-8.516819999931613E-2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48-4663-821B-32383C0686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Active!$I$21:$I$99</c:f>
              <c:numCache>
                <c:formatCode>General</c:formatCode>
                <c:ptCount val="79"/>
                <c:pt idx="20">
                  <c:v>4.7343000042019412E-3</c:v>
                </c:pt>
                <c:pt idx="21">
                  <c:v>-1.4268999948399141E-3</c:v>
                </c:pt>
                <c:pt idx="23">
                  <c:v>-1.9611999960034154E-3</c:v>
                </c:pt>
                <c:pt idx="24">
                  <c:v>1.1038800003007054E-2</c:v>
                </c:pt>
                <c:pt idx="25">
                  <c:v>2.3833000013837591E-3</c:v>
                </c:pt>
                <c:pt idx="26">
                  <c:v>3.3833000052254647E-3</c:v>
                </c:pt>
                <c:pt idx="27">
                  <c:v>-3.378199995495379E-3</c:v>
                </c:pt>
                <c:pt idx="28">
                  <c:v>-9.6439999906579033E-3</c:v>
                </c:pt>
                <c:pt idx="29">
                  <c:v>-4.9663999961921945E-3</c:v>
                </c:pt>
                <c:pt idx="30">
                  <c:v>-6.5049999830080196E-4</c:v>
                </c:pt>
                <c:pt idx="31">
                  <c:v>-1.4950999975553714E-3</c:v>
                </c:pt>
                <c:pt idx="32">
                  <c:v>7.5056000059703365E-3</c:v>
                </c:pt>
                <c:pt idx="33">
                  <c:v>-7.9886999956215732E-3</c:v>
                </c:pt>
                <c:pt idx="35">
                  <c:v>1.216000018757768E-4</c:v>
                </c:pt>
                <c:pt idx="36">
                  <c:v>-1.1240100000577513E-2</c:v>
                </c:pt>
                <c:pt idx="37">
                  <c:v>-1.3573199998063501E-2</c:v>
                </c:pt>
                <c:pt idx="38">
                  <c:v>-5.7450999956927262E-3</c:v>
                </c:pt>
                <c:pt idx="39">
                  <c:v>-1.6067500000644941E-2</c:v>
                </c:pt>
                <c:pt idx="40">
                  <c:v>-2.3096099997928832E-2</c:v>
                </c:pt>
                <c:pt idx="41">
                  <c:v>-3.7622999952873215E-3</c:v>
                </c:pt>
                <c:pt idx="42">
                  <c:v>-2.1256599997286685E-2</c:v>
                </c:pt>
                <c:pt idx="43">
                  <c:v>-1.4094699996348936E-2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48-4663-821B-32383C06860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Active!$J$21:$J$99</c:f>
              <c:numCache>
                <c:formatCode>General</c:formatCode>
                <c:ptCount val="79"/>
                <c:pt idx="34">
                  <c:v>-1.4878399997542147E-2</c:v>
                </c:pt>
                <c:pt idx="44">
                  <c:v>-1.6445199995359872E-2</c:v>
                </c:pt>
                <c:pt idx="45">
                  <c:v>-1.8850799999199808E-2</c:v>
                </c:pt>
                <c:pt idx="46">
                  <c:v>-1.8511999995098449E-2</c:v>
                </c:pt>
                <c:pt idx="47">
                  <c:v>-1.5145599994866643E-2</c:v>
                </c:pt>
                <c:pt idx="51">
                  <c:v>-2.2206599998753518E-2</c:v>
                </c:pt>
                <c:pt idx="52">
                  <c:v>-2.2733999998308718E-2</c:v>
                </c:pt>
                <c:pt idx="55">
                  <c:v>-2.5012299993250053E-2</c:v>
                </c:pt>
                <c:pt idx="57">
                  <c:v>-3.0434499996772502E-2</c:v>
                </c:pt>
                <c:pt idx="58">
                  <c:v>-2.6334999995015096E-2</c:v>
                </c:pt>
                <c:pt idx="72">
                  <c:v>-3.7812999995367136E-2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48-4663-821B-32383C06860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Active!$K$21:$K$99</c:f>
              <c:numCache>
                <c:formatCode>General</c:formatCode>
                <c:ptCount val="79"/>
                <c:pt idx="48">
                  <c:v>-2.0282017278077547E-2</c:v>
                </c:pt>
                <c:pt idx="49">
                  <c:v>-2.1394899995357264E-2</c:v>
                </c:pt>
                <c:pt idx="50">
                  <c:v>-2.1394899995357264E-2</c:v>
                </c:pt>
                <c:pt idx="53">
                  <c:v>-2.2977299995545764E-2</c:v>
                </c:pt>
                <c:pt idx="54">
                  <c:v>-2.5349349998577964E-2</c:v>
                </c:pt>
                <c:pt idx="56">
                  <c:v>-2.5311599994893186E-2</c:v>
                </c:pt>
                <c:pt idx="59">
                  <c:v>-2.5486499995167833E-2</c:v>
                </c:pt>
                <c:pt idx="60">
                  <c:v>-2.4747349991230294E-2</c:v>
                </c:pt>
                <c:pt idx="61">
                  <c:v>-3.1223599995428231E-2</c:v>
                </c:pt>
                <c:pt idx="62">
                  <c:v>-2.7493399997183587E-2</c:v>
                </c:pt>
                <c:pt idx="63">
                  <c:v>-2.7244599994446617E-2</c:v>
                </c:pt>
                <c:pt idx="64">
                  <c:v>-2.706594999472145E-2</c:v>
                </c:pt>
                <c:pt idx="65">
                  <c:v>-3.0121799994958565E-2</c:v>
                </c:pt>
                <c:pt idx="66">
                  <c:v>-3.847949999908451E-2</c:v>
                </c:pt>
                <c:pt idx="67">
                  <c:v>-3.154069999436615E-2</c:v>
                </c:pt>
                <c:pt idx="68">
                  <c:v>-3.4857399994507432E-2</c:v>
                </c:pt>
                <c:pt idx="69">
                  <c:v>-2.9550699997344054E-2</c:v>
                </c:pt>
                <c:pt idx="70">
                  <c:v>-2.7967750000243541E-2</c:v>
                </c:pt>
                <c:pt idx="71">
                  <c:v>-3.0833499993605074E-2</c:v>
                </c:pt>
                <c:pt idx="73">
                  <c:v>-4.3288799992296845E-2</c:v>
                </c:pt>
                <c:pt idx="74">
                  <c:v>-4.490599999553524E-2</c:v>
                </c:pt>
                <c:pt idx="75">
                  <c:v>-4.620529999374412E-2</c:v>
                </c:pt>
                <c:pt idx="76">
                  <c:v>-4.9422499992942903E-2</c:v>
                </c:pt>
                <c:pt idx="77">
                  <c:v>-5.7528099991031922E-2</c:v>
                </c:pt>
                <c:pt idx="78">
                  <c:v>-6.0977699999057222E-2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48-4663-821B-32383C06860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Active!$L$21:$L$99</c:f>
              <c:numCache>
                <c:formatCode>General</c:formatCode>
                <c:ptCount val="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48-4663-821B-32383C0686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Active!$M$21:$M$99</c:f>
              <c:numCache>
                <c:formatCode>General</c:formatCode>
                <c:ptCount val="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48-4663-821B-32383C0686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Active!$N$21:$N$99</c:f>
              <c:numCache>
                <c:formatCode>General</c:formatCode>
                <c:ptCount val="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48-4663-821B-32383C0686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Active!$O$21:$O$99</c:f>
              <c:numCache>
                <c:formatCode>General</c:formatCode>
                <c:ptCount val="79"/>
                <c:pt idx="45">
                  <c:v>5.8283185111957861E-3</c:v>
                </c:pt>
                <c:pt idx="46">
                  <c:v>5.7648204022654678E-3</c:v>
                </c:pt>
                <c:pt idx="47">
                  <c:v>2.9285715367109999E-3</c:v>
                </c:pt>
                <c:pt idx="48">
                  <c:v>2.7698262643851904E-3</c:v>
                </c:pt>
                <c:pt idx="49">
                  <c:v>-2.09293346262511E-4</c:v>
                </c:pt>
                <c:pt idx="50">
                  <c:v>-2.09293346262511E-4</c:v>
                </c:pt>
                <c:pt idx="51">
                  <c:v>-2.9924900058046766E-4</c:v>
                </c:pt>
                <c:pt idx="52">
                  <c:v>-6.908206723174673E-4</c:v>
                </c:pt>
                <c:pt idx="53">
                  <c:v>-3.5111950106393591E-3</c:v>
                </c:pt>
                <c:pt idx="54">
                  <c:v>-6.5300009393685077E-3</c:v>
                </c:pt>
                <c:pt idx="55">
                  <c:v>-1.0654732265300795E-2</c:v>
                </c:pt>
                <c:pt idx="56">
                  <c:v>-1.1146842609510807E-2</c:v>
                </c:pt>
                <c:pt idx="57">
                  <c:v>-1.3946050911522581E-2</c:v>
                </c:pt>
                <c:pt idx="58">
                  <c:v>-1.6618262995673719E-2</c:v>
                </c:pt>
                <c:pt idx="59">
                  <c:v>-1.6697635631836613E-2</c:v>
                </c:pt>
                <c:pt idx="60">
                  <c:v>-1.7007188912871951E-2</c:v>
                </c:pt>
                <c:pt idx="61">
                  <c:v>-1.707333277634103E-2</c:v>
                </c:pt>
                <c:pt idx="62">
                  <c:v>-1.7591900665938673E-2</c:v>
                </c:pt>
                <c:pt idx="63">
                  <c:v>-1.7655398774869005E-2</c:v>
                </c:pt>
                <c:pt idx="64">
                  <c:v>-2.4341220494324356E-2</c:v>
                </c:pt>
                <c:pt idx="65">
                  <c:v>-2.4386198321483338E-2</c:v>
                </c:pt>
                <c:pt idx="66">
                  <c:v>-2.6910248151463714E-2</c:v>
                </c:pt>
                <c:pt idx="67">
                  <c:v>-2.6973746260394033E-2</c:v>
                </c:pt>
                <c:pt idx="68">
                  <c:v>-2.7328277368588338E-2</c:v>
                </c:pt>
                <c:pt idx="69">
                  <c:v>-2.7502897168146731E-2</c:v>
                </c:pt>
                <c:pt idx="70">
                  <c:v>-2.7611373104236045E-2</c:v>
                </c:pt>
                <c:pt idx="71">
                  <c:v>-2.9767663053328286E-2</c:v>
                </c:pt>
                <c:pt idx="72">
                  <c:v>-3.6620167308725748E-2</c:v>
                </c:pt>
                <c:pt idx="73">
                  <c:v>-4.3806036636007406E-2</c:v>
                </c:pt>
                <c:pt idx="74">
                  <c:v>-4.6832779828352836E-2</c:v>
                </c:pt>
                <c:pt idx="75">
                  <c:v>-4.7324890172562847E-2</c:v>
                </c:pt>
                <c:pt idx="76">
                  <c:v>-5.0351633364908291E-2</c:v>
                </c:pt>
                <c:pt idx="77">
                  <c:v>-5.6997768766282195E-2</c:v>
                </c:pt>
                <c:pt idx="78">
                  <c:v>-6.0680659084240973E-2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48-4663-821B-32383C06860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-33404</c:v>
                </c:pt>
                <c:pt idx="1">
                  <c:v>-33368</c:v>
                </c:pt>
                <c:pt idx="2">
                  <c:v>-33215</c:v>
                </c:pt>
                <c:pt idx="3">
                  <c:v>-30937</c:v>
                </c:pt>
                <c:pt idx="4">
                  <c:v>-30932</c:v>
                </c:pt>
                <c:pt idx="5">
                  <c:v>-30918</c:v>
                </c:pt>
                <c:pt idx="6">
                  <c:v>-30887</c:v>
                </c:pt>
                <c:pt idx="7">
                  <c:v>-30885</c:v>
                </c:pt>
                <c:pt idx="8">
                  <c:v>-30880</c:v>
                </c:pt>
                <c:pt idx="9">
                  <c:v>-30875</c:v>
                </c:pt>
                <c:pt idx="10">
                  <c:v>-30861</c:v>
                </c:pt>
                <c:pt idx="11">
                  <c:v>-30782</c:v>
                </c:pt>
                <c:pt idx="12">
                  <c:v>-23442</c:v>
                </c:pt>
                <c:pt idx="13">
                  <c:v>-22074</c:v>
                </c:pt>
                <c:pt idx="14">
                  <c:v>-20722</c:v>
                </c:pt>
                <c:pt idx="15">
                  <c:v>-20038</c:v>
                </c:pt>
                <c:pt idx="16">
                  <c:v>-19583</c:v>
                </c:pt>
                <c:pt idx="17">
                  <c:v>-18925</c:v>
                </c:pt>
                <c:pt idx="18">
                  <c:v>-18279</c:v>
                </c:pt>
                <c:pt idx="19">
                  <c:v>-4427.5</c:v>
                </c:pt>
                <c:pt idx="20">
                  <c:v>-2443</c:v>
                </c:pt>
                <c:pt idx="21">
                  <c:v>-2431</c:v>
                </c:pt>
                <c:pt idx="22">
                  <c:v>-30918</c:v>
                </c:pt>
                <c:pt idx="23">
                  <c:v>-1988</c:v>
                </c:pt>
                <c:pt idx="24">
                  <c:v>-1988</c:v>
                </c:pt>
                <c:pt idx="25">
                  <c:v>-1933</c:v>
                </c:pt>
                <c:pt idx="26">
                  <c:v>-1933</c:v>
                </c:pt>
                <c:pt idx="27">
                  <c:v>1182</c:v>
                </c:pt>
                <c:pt idx="28">
                  <c:v>4440</c:v>
                </c:pt>
                <c:pt idx="29">
                  <c:v>4464</c:v>
                </c:pt>
                <c:pt idx="30">
                  <c:v>5005</c:v>
                </c:pt>
                <c:pt idx="31">
                  <c:v>5651</c:v>
                </c:pt>
                <c:pt idx="32">
                  <c:v>5744</c:v>
                </c:pt>
                <c:pt idx="33">
                  <c:v>5787</c:v>
                </c:pt>
                <c:pt idx="34">
                  <c:v>7584</c:v>
                </c:pt>
                <c:pt idx="35">
                  <c:v>7584</c:v>
                </c:pt>
                <c:pt idx="36">
                  <c:v>8101</c:v>
                </c:pt>
                <c:pt idx="37">
                  <c:v>8132</c:v>
                </c:pt>
                <c:pt idx="38">
                  <c:v>8151</c:v>
                </c:pt>
                <c:pt idx="39">
                  <c:v>8175</c:v>
                </c:pt>
                <c:pt idx="40">
                  <c:v>8661</c:v>
                </c:pt>
                <c:pt idx="41">
                  <c:v>8723</c:v>
                </c:pt>
                <c:pt idx="42">
                  <c:v>8766</c:v>
                </c:pt>
                <c:pt idx="43">
                  <c:v>8847</c:v>
                </c:pt>
                <c:pt idx="44">
                  <c:v>8852</c:v>
                </c:pt>
                <c:pt idx="45">
                  <c:v>10108</c:v>
                </c:pt>
                <c:pt idx="46">
                  <c:v>10120</c:v>
                </c:pt>
                <c:pt idx="47">
                  <c:v>10656</c:v>
                </c:pt>
                <c:pt idx="48">
                  <c:v>10686</c:v>
                </c:pt>
                <c:pt idx="49">
                  <c:v>11249</c:v>
                </c:pt>
                <c:pt idx="50">
                  <c:v>11249</c:v>
                </c:pt>
                <c:pt idx="51">
                  <c:v>11266</c:v>
                </c:pt>
                <c:pt idx="52">
                  <c:v>11340</c:v>
                </c:pt>
                <c:pt idx="53">
                  <c:v>11873</c:v>
                </c:pt>
                <c:pt idx="54">
                  <c:v>12443.5</c:v>
                </c:pt>
                <c:pt idx="55">
                  <c:v>13223</c:v>
                </c:pt>
                <c:pt idx="56">
                  <c:v>13316</c:v>
                </c:pt>
                <c:pt idx="57">
                  <c:v>13845</c:v>
                </c:pt>
                <c:pt idx="58">
                  <c:v>14350</c:v>
                </c:pt>
                <c:pt idx="59">
                  <c:v>14365</c:v>
                </c:pt>
                <c:pt idx="60">
                  <c:v>14423.5</c:v>
                </c:pt>
                <c:pt idx="61">
                  <c:v>14436</c:v>
                </c:pt>
                <c:pt idx="62">
                  <c:v>14534</c:v>
                </c:pt>
                <c:pt idx="63">
                  <c:v>14546</c:v>
                </c:pt>
                <c:pt idx="64">
                  <c:v>15809.5</c:v>
                </c:pt>
                <c:pt idx="65">
                  <c:v>15818</c:v>
                </c:pt>
                <c:pt idx="66">
                  <c:v>16295</c:v>
                </c:pt>
                <c:pt idx="67">
                  <c:v>16307</c:v>
                </c:pt>
                <c:pt idx="68">
                  <c:v>16374</c:v>
                </c:pt>
                <c:pt idx="69">
                  <c:v>16407</c:v>
                </c:pt>
                <c:pt idx="70">
                  <c:v>16427.5</c:v>
                </c:pt>
                <c:pt idx="71">
                  <c:v>16835</c:v>
                </c:pt>
                <c:pt idx="72">
                  <c:v>18130</c:v>
                </c:pt>
                <c:pt idx="73">
                  <c:v>19488</c:v>
                </c:pt>
                <c:pt idx="74">
                  <c:v>20060</c:v>
                </c:pt>
                <c:pt idx="75">
                  <c:v>20153</c:v>
                </c:pt>
                <c:pt idx="76">
                  <c:v>20725</c:v>
                </c:pt>
                <c:pt idx="77">
                  <c:v>21981</c:v>
                </c:pt>
                <c:pt idx="78">
                  <c:v>22677</c:v>
                </c:pt>
              </c:numCache>
            </c:numRef>
          </c:xVal>
          <c:yVal>
            <c:numRef>
              <c:f>Active!$U$21:$U$99</c:f>
              <c:numCache>
                <c:formatCode>General</c:formatCode>
                <c:ptCount val="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48-4663-821B-32383C068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20088"/>
        <c:axId val="1"/>
      </c:scatterChart>
      <c:valAx>
        <c:axId val="429920088"/>
        <c:scaling>
          <c:orientation val="minMax"/>
          <c:min val="-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9200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93548387096774"/>
          <c:y val="0.91277520216514996"/>
          <c:w val="0.75645161290322582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371475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593B737-05BE-7F3C-4A2C-E9453DB0D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0</xdr:row>
      <xdr:rowOff>19050</xdr:rowOff>
    </xdr:from>
    <xdr:to>
      <xdr:col>25</xdr:col>
      <xdr:colOff>447675</xdr:colOff>
      <xdr:row>18</xdr:row>
      <xdr:rowOff>66675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28171662-D370-8DA1-060A-CFCA30BFE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997" TargetMode="External"/><Relationship Id="rId3" Type="http://schemas.openxmlformats.org/officeDocument/2006/relationships/hyperlink" Target="http://www.bav-astro.de/sfs/BAVM_link.php?BAVMnr=133" TargetMode="External"/><Relationship Id="rId21" Type="http://schemas.openxmlformats.org/officeDocument/2006/relationships/hyperlink" Target="http://www.konkoly.hu/cgi-bin/IBVS?5040" TargetMode="External"/><Relationship Id="rId7" Type="http://schemas.openxmlformats.org/officeDocument/2006/relationships/hyperlink" Target="http://www.konkoly.hu/cgi-bin/IBVS?5493" TargetMode="External"/><Relationship Id="rId12" Type="http://schemas.openxmlformats.org/officeDocument/2006/relationships/hyperlink" Target="http://www.konkoly.hu/cgi-bin/IBVS?5746" TargetMode="External"/><Relationship Id="rId17" Type="http://schemas.openxmlformats.org/officeDocument/2006/relationships/hyperlink" Target="http://www.konkoly.hu/cgi-bin/IBVS?5997" TargetMode="External"/><Relationship Id="rId2" Type="http://schemas.openxmlformats.org/officeDocument/2006/relationships/hyperlink" Target="http://www.bav-astro.de/sfs/BAVM_link.php?BAVMnr=111" TargetMode="External"/><Relationship Id="rId16" Type="http://schemas.openxmlformats.org/officeDocument/2006/relationships/hyperlink" Target="http://www.konkoly.hu/cgi-bin/IBVS?5870" TargetMode="External"/><Relationship Id="rId20" Type="http://schemas.openxmlformats.org/officeDocument/2006/relationships/hyperlink" Target="http://www.bav-astro.de/sfs/BAVM_link.php?BAVMnr=232" TargetMode="External"/><Relationship Id="rId1" Type="http://schemas.openxmlformats.org/officeDocument/2006/relationships/hyperlink" Target="http://www.bav-astro.de/sfs/BAVM_link.php?BAVMnr=90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www.konkoly.hu/cgi-bin/IBVS?5870" TargetMode="External"/><Relationship Id="rId23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653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workbookViewId="0">
      <pane xSplit="14" ySplit="22" topLeftCell="O85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6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E1" s="1" t="s">
        <v>1</v>
      </c>
    </row>
    <row r="2" spans="1:6" x14ac:dyDescent="0.2">
      <c r="A2" s="1" t="s">
        <v>2</v>
      </c>
      <c r="B2" s="1" t="s">
        <v>3</v>
      </c>
    </row>
    <row r="4" spans="1:6" x14ac:dyDescent="0.2">
      <c r="A4" s="3" t="s">
        <v>4</v>
      </c>
      <c r="C4" s="4">
        <v>45612.322999999997</v>
      </c>
      <c r="D4" s="5">
        <v>0.58043009999999995</v>
      </c>
    </row>
    <row r="5" spans="1:6" x14ac:dyDescent="0.2">
      <c r="A5" s="6" t="s">
        <v>5</v>
      </c>
      <c r="B5"/>
      <c r="C5" s="7">
        <v>-9.5</v>
      </c>
      <c r="D5" t="s">
        <v>6</v>
      </c>
    </row>
    <row r="6" spans="1:6" x14ac:dyDescent="0.2">
      <c r="A6" s="3" t="s">
        <v>7</v>
      </c>
    </row>
    <row r="7" spans="1:6" x14ac:dyDescent="0.2">
      <c r="A7" s="1" t="s">
        <v>8</v>
      </c>
      <c r="C7" s="1">
        <f>+C4</f>
        <v>45612.322999999997</v>
      </c>
    </row>
    <row r="8" spans="1:6" x14ac:dyDescent="0.2">
      <c r="A8" s="1" t="s">
        <v>9</v>
      </c>
      <c r="C8" s="1">
        <f>+D4</f>
        <v>0.58043009999999995</v>
      </c>
    </row>
    <row r="9" spans="1:6" x14ac:dyDescent="0.2">
      <c r="A9" s="8" t="s">
        <v>10</v>
      </c>
      <c r="B9" s="9">
        <v>92</v>
      </c>
      <c r="C9" s="10" t="str">
        <f>"F"&amp;B9</f>
        <v>F92</v>
      </c>
      <c r="D9" s="11" t="str">
        <f>"G"&amp;B9</f>
        <v>G92</v>
      </c>
    </row>
    <row r="10" spans="1:6" x14ac:dyDescent="0.2">
      <c r="A10"/>
      <c r="B10"/>
      <c r="C10" s="12" t="s">
        <v>11</v>
      </c>
      <c r="D10" s="12" t="s">
        <v>12</v>
      </c>
      <c r="E10"/>
    </row>
    <row r="11" spans="1:6" x14ac:dyDescent="0.2">
      <c r="A11" t="s">
        <v>13</v>
      </c>
      <c r="B11"/>
      <c r="C11" s="13">
        <f ca="1">INTERCEPT(INDIRECT($D$9):G989,INDIRECT($C$9):F989)</f>
        <v>5.9314892266838629E-2</v>
      </c>
      <c r="D11" s="14"/>
      <c r="E11"/>
    </row>
    <row r="12" spans="1:6" x14ac:dyDescent="0.2">
      <c r="A12" t="s">
        <v>14</v>
      </c>
      <c r="B12"/>
      <c r="C12" s="13">
        <f ca="1">SLOPE(INDIRECT($D$9):G989,INDIRECT($C$9):F989)</f>
        <v>-5.2915090775269924E-6</v>
      </c>
      <c r="D12" s="14"/>
      <c r="E12"/>
    </row>
    <row r="13" spans="1:6" x14ac:dyDescent="0.2">
      <c r="A13" t="s">
        <v>15</v>
      </c>
      <c r="B13"/>
      <c r="C13" s="14" t="s">
        <v>16</v>
      </c>
    </row>
    <row r="14" spans="1:6" x14ac:dyDescent="0.2">
      <c r="A14"/>
      <c r="B14"/>
      <c r="C14"/>
    </row>
    <row r="15" spans="1:6" x14ac:dyDescent="0.2">
      <c r="A15" s="15" t="s">
        <v>17</v>
      </c>
      <c r="B15"/>
      <c r="C15" s="16">
        <f ca="1">(C7+C11)+(C8+C12)*INT(MAX(F21:F3530))</f>
        <v>59124.671856560934</v>
      </c>
      <c r="E15" s="17" t="s">
        <v>18</v>
      </c>
      <c r="F15" s="7">
        <v>1</v>
      </c>
    </row>
    <row r="16" spans="1:6" x14ac:dyDescent="0.2">
      <c r="A16" s="15" t="s">
        <v>19</v>
      </c>
      <c r="B16"/>
      <c r="C16" s="16">
        <f ca="1">+C8+C12</f>
        <v>0.58042480849092237</v>
      </c>
      <c r="E16" s="17" t="s">
        <v>20</v>
      </c>
      <c r="F16" s="13">
        <f ca="1">NOW()+15018.5+$C$5/24</f>
        <v>59965.740368171297</v>
      </c>
    </row>
    <row r="17" spans="1:21" x14ac:dyDescent="0.2">
      <c r="A17" s="17" t="s">
        <v>21</v>
      </c>
      <c r="B17"/>
      <c r="C17">
        <f>COUNT(C21:C2188)</f>
        <v>81</v>
      </c>
      <c r="E17" s="17" t="s">
        <v>22</v>
      </c>
      <c r="F17" s="13">
        <f ca="1">ROUND(2*(F16-$C$7)/$C$8,0)/2+F15</f>
        <v>24730</v>
      </c>
    </row>
    <row r="18" spans="1:21" x14ac:dyDescent="0.2">
      <c r="A18" s="15" t="s">
        <v>23</v>
      </c>
      <c r="B18"/>
      <c r="C18" s="18">
        <f ca="1">+C15</f>
        <v>59124.671856560934</v>
      </c>
      <c r="D18" s="19">
        <f ca="1">+C16</f>
        <v>0.58042480849092237</v>
      </c>
      <c r="E18" s="17" t="s">
        <v>24</v>
      </c>
      <c r="F18" s="11">
        <f ca="1">ROUND(2*(F16-$C$15)/$C$16,0)/2+F15</f>
        <v>1450</v>
      </c>
    </row>
    <row r="19" spans="1:21" x14ac:dyDescent="0.2">
      <c r="E19" s="17" t="s">
        <v>25</v>
      </c>
      <c r="F19" s="20">
        <f ca="1">+$C$15+$C$16*F18-15018.5-$C$5/24</f>
        <v>44948.183662206109</v>
      </c>
    </row>
    <row r="20" spans="1:21" x14ac:dyDescent="0.2">
      <c r="A20" s="12" t="s">
        <v>26</v>
      </c>
      <c r="B20" s="12" t="s">
        <v>27</v>
      </c>
      <c r="C20" s="12" t="s">
        <v>28</v>
      </c>
      <c r="D20" s="12" t="s">
        <v>29</v>
      </c>
      <c r="E20" s="12" t="s">
        <v>30</v>
      </c>
      <c r="F20" s="12" t="s">
        <v>31</v>
      </c>
      <c r="G20" s="12" t="s">
        <v>32</v>
      </c>
      <c r="H20" s="21" t="s">
        <v>33</v>
      </c>
      <c r="I20" s="21" t="s">
        <v>34</v>
      </c>
      <c r="J20" s="21" t="s">
        <v>35</v>
      </c>
      <c r="K20" s="21" t="s">
        <v>36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2" t="s">
        <v>42</v>
      </c>
      <c r="U20" s="22" t="s">
        <v>43</v>
      </c>
    </row>
    <row r="21" spans="1:21" x14ac:dyDescent="0.2">
      <c r="A21" s="23" t="s">
        <v>44</v>
      </c>
      <c r="B21" s="24" t="s">
        <v>45</v>
      </c>
      <c r="C21" s="25">
        <v>26223.530999999999</v>
      </c>
      <c r="D21" s="26"/>
      <c r="E21" s="27">
        <f>+(C21-C$7)/C$8</f>
        <v>-33404.180796275039</v>
      </c>
      <c r="F21" s="1">
        <f>ROUND(2*E21,0)/2</f>
        <v>-33404</v>
      </c>
      <c r="G21" s="1">
        <f>+C21-(C$7+F21*C$8)</f>
        <v>-0.10493959999803337</v>
      </c>
      <c r="H21" s="1">
        <f>+G21</f>
        <v>-0.10493959999803337</v>
      </c>
      <c r="Q21" s="28">
        <f>+C21-15018.5</f>
        <v>11205.030999999999</v>
      </c>
    </row>
    <row r="22" spans="1:21" x14ac:dyDescent="0.2">
      <c r="A22" s="23" t="s">
        <v>44</v>
      </c>
      <c r="B22" s="24" t="s">
        <v>45</v>
      </c>
      <c r="C22" s="25">
        <v>26244.392</v>
      </c>
      <c r="D22" s="26"/>
      <c r="E22" s="27">
        <f>+(C22-C$7)/C$8</f>
        <v>-33368.240206701892</v>
      </c>
      <c r="F22" s="1">
        <f>ROUND(2*E22,0)/2</f>
        <v>-33368</v>
      </c>
      <c r="G22" s="1">
        <f>+C22-(C$7+F22*C$8)</f>
        <v>-0.13942319999841857</v>
      </c>
      <c r="H22" s="1">
        <f>+G22</f>
        <v>-0.13942319999841857</v>
      </c>
      <c r="Q22" s="28">
        <f>+C22-15018.5</f>
        <v>11225.892</v>
      </c>
    </row>
    <row r="23" spans="1:21" x14ac:dyDescent="0.2">
      <c r="A23" s="23" t="s">
        <v>44</v>
      </c>
      <c r="B23" s="24" t="s">
        <v>45</v>
      </c>
      <c r="C23" s="25">
        <v>26333.238000000001</v>
      </c>
      <c r="D23" s="26"/>
      <c r="E23" s="27">
        <f>+(C23-C$7)/C$8</f>
        <v>-33215.170956847338</v>
      </c>
      <c r="F23" s="1">
        <f>ROUND(2*E23,0)/2</f>
        <v>-33215</v>
      </c>
      <c r="G23" s="1">
        <f>+C23-(C$7+F23*C$8)</f>
        <v>-9.9228499995660968E-2</v>
      </c>
      <c r="H23" s="1">
        <f>+G23</f>
        <v>-9.9228499995660968E-2</v>
      </c>
      <c r="Q23" s="28">
        <f>+C23-15018.5</f>
        <v>11314.738000000001</v>
      </c>
    </row>
    <row r="24" spans="1:21" x14ac:dyDescent="0.2">
      <c r="A24" s="23" t="s">
        <v>44</v>
      </c>
      <c r="B24" s="24" t="s">
        <v>45</v>
      </c>
      <c r="C24" s="25">
        <v>27655.45</v>
      </c>
      <c r="D24" s="26"/>
      <c r="E24" s="27">
        <f>+(C24-C$7)/C$8</f>
        <v>-30937.184339681899</v>
      </c>
      <c r="F24" s="1">
        <f>ROUND(2*E24,0)/2</f>
        <v>-30937</v>
      </c>
      <c r="G24" s="1">
        <f>+C24-(C$7+F24*C$8)</f>
        <v>-0.10699629999726312</v>
      </c>
      <c r="H24" s="1">
        <f>+G24</f>
        <v>-0.10699629999726312</v>
      </c>
      <c r="Q24" s="28">
        <f>+C24-15018.5</f>
        <v>12636.95</v>
      </c>
    </row>
    <row r="25" spans="1:21" x14ac:dyDescent="0.2">
      <c r="A25" s="23" t="s">
        <v>44</v>
      </c>
      <c r="B25" s="24" t="s">
        <v>45</v>
      </c>
      <c r="C25" s="25">
        <v>27658.362000000001</v>
      </c>
      <c r="D25" s="26"/>
      <c r="E25" s="27">
        <f>+(C25-C$7)/C$8</f>
        <v>-30932.167370368967</v>
      </c>
      <c r="F25" s="1">
        <f>ROUND(2*E25,0)/2</f>
        <v>-30932</v>
      </c>
      <c r="G25" s="1">
        <f>+C25-(C$7+F25*C$8)</f>
        <v>-9.7146799998881761E-2</v>
      </c>
      <c r="H25" s="1">
        <f>+G25</f>
        <v>-9.7146799998881761E-2</v>
      </c>
      <c r="Q25" s="28">
        <f>+C25-15018.5</f>
        <v>12639.862000000001</v>
      </c>
    </row>
    <row r="26" spans="1:21" x14ac:dyDescent="0.2">
      <c r="A26" s="23" t="s">
        <v>46</v>
      </c>
      <c r="B26" s="24" t="s">
        <v>45</v>
      </c>
      <c r="C26" s="25">
        <v>27666.5</v>
      </c>
      <c r="D26" s="26"/>
      <c r="E26" s="27">
        <f>+(C26-C$7)/C$8</f>
        <v>-30918.146732914091</v>
      </c>
      <c r="F26" s="1">
        <f>ROUND(2*E26,0)/2</f>
        <v>-30918</v>
      </c>
      <c r="G26" s="1">
        <f>+C26-(C$7+F26*C$8)</f>
        <v>-8.516819999931613E-2</v>
      </c>
      <c r="H26" s="1">
        <f>+G26</f>
        <v>-8.516819999931613E-2</v>
      </c>
      <c r="Q26" s="28">
        <f>+C26-15018.5</f>
        <v>12648</v>
      </c>
    </row>
    <row r="27" spans="1:21" x14ac:dyDescent="0.2">
      <c r="A27" s="23" t="s">
        <v>46</v>
      </c>
      <c r="B27" s="24" t="s">
        <v>45</v>
      </c>
      <c r="C27" s="25">
        <v>27684.49</v>
      </c>
      <c r="D27" s="26"/>
      <c r="E27" s="27">
        <f>+(C27-C$7)/C$8</f>
        <v>-30887.152475379888</v>
      </c>
      <c r="F27" s="1">
        <f>ROUND(2*E27,0)/2</f>
        <v>-30887</v>
      </c>
      <c r="G27" s="1">
        <f>+C27-(C$7+F27*C$8)</f>
        <v>-8.8501299997005844E-2</v>
      </c>
      <c r="H27" s="1">
        <f>+G27</f>
        <v>-8.8501299997005844E-2</v>
      </c>
      <c r="Q27" s="28">
        <f>+C27-15018.5</f>
        <v>12665.990000000002</v>
      </c>
    </row>
    <row r="28" spans="1:21" x14ac:dyDescent="0.2">
      <c r="A28" s="23" t="s">
        <v>46</v>
      </c>
      <c r="B28" s="24" t="s">
        <v>45</v>
      </c>
      <c r="C28" s="25">
        <v>27685.63</v>
      </c>
      <c r="D28" s="26"/>
      <c r="E28" s="27">
        <f>+(C28-C$7)/C$8</f>
        <v>-30885.188414591175</v>
      </c>
      <c r="F28" s="1">
        <f>ROUND(2*E28,0)/2</f>
        <v>-30885</v>
      </c>
      <c r="G28" s="1">
        <f>+C28-(C$7+F28*C$8)</f>
        <v>-0.10936149999542977</v>
      </c>
      <c r="H28" s="1">
        <f>+G28</f>
        <v>-0.10936149999542977</v>
      </c>
      <c r="Q28" s="28">
        <f>+C28-15018.5</f>
        <v>12667.130000000001</v>
      </c>
    </row>
    <row r="29" spans="1:21" x14ac:dyDescent="0.2">
      <c r="A29" s="23" t="s">
        <v>46</v>
      </c>
      <c r="B29" s="24" t="s">
        <v>45</v>
      </c>
      <c r="C29" s="25">
        <v>27688.546999999999</v>
      </c>
      <c r="D29" s="26"/>
      <c r="E29" s="27">
        <f>+(C29-C$7)/C$8</f>
        <v>-30880.162830976547</v>
      </c>
      <c r="F29" s="1">
        <f>ROUND(2*E29,0)/2</f>
        <v>-30880</v>
      </c>
      <c r="G29" s="1">
        <f>+C29-(C$7+F29*C$8)</f>
        <v>-9.4511999999667751E-2</v>
      </c>
      <c r="H29" s="1">
        <f>+G29</f>
        <v>-9.4511999999667751E-2</v>
      </c>
      <c r="Q29" s="28">
        <f>+C29-15018.5</f>
        <v>12670.046999999999</v>
      </c>
    </row>
    <row r="30" spans="1:21" x14ac:dyDescent="0.2">
      <c r="A30" s="23" t="s">
        <v>46</v>
      </c>
      <c r="B30" s="24" t="s">
        <v>45</v>
      </c>
      <c r="C30" s="25">
        <v>27691.45</v>
      </c>
      <c r="D30" s="26"/>
      <c r="E30" s="27">
        <f>+(C30-C$7)/C$8</f>
        <v>-30875.161367406683</v>
      </c>
      <c r="F30" s="1">
        <f>ROUND(2*E30,0)/2</f>
        <v>-30875</v>
      </c>
      <c r="G30" s="1">
        <f>+C30-(C$7+F30*C$8)</f>
        <v>-9.3662499995843973E-2</v>
      </c>
      <c r="H30" s="1">
        <f>+G30</f>
        <v>-9.3662499995843973E-2</v>
      </c>
      <c r="Q30" s="28">
        <f>+C30-15018.5</f>
        <v>12672.95</v>
      </c>
    </row>
    <row r="31" spans="1:21" x14ac:dyDescent="0.2">
      <c r="A31" s="23" t="s">
        <v>46</v>
      </c>
      <c r="B31" s="24" t="s">
        <v>45</v>
      </c>
      <c r="C31" s="25">
        <v>27699.58</v>
      </c>
      <c r="D31" s="26"/>
      <c r="E31" s="27">
        <f>+(C31-C$7)/C$8</f>
        <v>-30861.154512834528</v>
      </c>
      <c r="F31" s="1">
        <f>ROUND(2*E31,0)/2</f>
        <v>-30861</v>
      </c>
      <c r="G31" s="1">
        <f>+C31-(C$7+F31*C$8)</f>
        <v>-8.9683899997908156E-2</v>
      </c>
      <c r="H31" s="1">
        <f>+G31</f>
        <v>-8.9683899997908156E-2</v>
      </c>
      <c r="Q31" s="28">
        <f>+C31-15018.5</f>
        <v>12681.080000000002</v>
      </c>
    </row>
    <row r="32" spans="1:21" x14ac:dyDescent="0.2">
      <c r="A32" s="23" t="s">
        <v>46</v>
      </c>
      <c r="B32" s="24" t="s">
        <v>45</v>
      </c>
      <c r="C32" s="25">
        <v>27745.425999999999</v>
      </c>
      <c r="D32" s="26"/>
      <c r="E32" s="27">
        <f>+(C32-C$7)/C$8</f>
        <v>-30782.168257642046</v>
      </c>
      <c r="F32" s="1">
        <f>ROUND(2*E32,0)/2</f>
        <v>-30782</v>
      </c>
      <c r="G32" s="1">
        <f>+C32-(C$7+F32*C$8)</f>
        <v>-9.7661799998604693E-2</v>
      </c>
      <c r="H32" s="1">
        <f>+G32</f>
        <v>-9.7661799998604693E-2</v>
      </c>
      <c r="Q32" s="28">
        <f>+C32-15018.5</f>
        <v>12726.925999999999</v>
      </c>
    </row>
    <row r="33" spans="1:21" x14ac:dyDescent="0.2">
      <c r="A33" s="23" t="s">
        <v>47</v>
      </c>
      <c r="B33" s="24" t="s">
        <v>48</v>
      </c>
      <c r="C33" s="25">
        <v>32005.793000000001</v>
      </c>
      <c r="D33" s="26"/>
      <c r="E33" s="27">
        <f>+(C33-C$7)/C$8</f>
        <v>-23442.15091532985</v>
      </c>
      <c r="F33" s="1">
        <f>ROUND(2*E33,0)/2</f>
        <v>-23442</v>
      </c>
      <c r="G33" s="1">
        <f>+C33-(C$7+F33*C$8)</f>
        <v>-8.7595799996051937E-2</v>
      </c>
      <c r="H33" s="1">
        <f>+G33</f>
        <v>-8.7595799996051937E-2</v>
      </c>
      <c r="Q33" s="28">
        <f>+C33-15018.5</f>
        <v>16987.293000000001</v>
      </c>
    </row>
    <row r="34" spans="1:21" x14ac:dyDescent="0.2">
      <c r="A34" s="23" t="s">
        <v>47</v>
      </c>
      <c r="B34" s="24" t="s">
        <v>48</v>
      </c>
      <c r="C34" s="25">
        <v>32799.841999999997</v>
      </c>
      <c r="D34" s="26"/>
      <c r="E34" s="27">
        <f>+(C34-C$7)/C$8</f>
        <v>-22074.115384436474</v>
      </c>
      <c r="F34" s="1">
        <f>ROUND(2*E34,0)/2</f>
        <v>-22074</v>
      </c>
      <c r="G34" s="1">
        <f>+C34-(C$7+F34*C$8)</f>
        <v>-6.6972599997825455E-2</v>
      </c>
      <c r="H34" s="1">
        <f>+G34</f>
        <v>-6.6972599997825455E-2</v>
      </c>
      <c r="Q34" s="28">
        <f>+C34-15018.5</f>
        <v>17781.341999999997</v>
      </c>
    </row>
    <row r="35" spans="1:21" x14ac:dyDescent="0.2">
      <c r="A35" s="23" t="s">
        <v>47</v>
      </c>
      <c r="B35" s="24" t="s">
        <v>48</v>
      </c>
      <c r="C35" s="25">
        <v>33584.599000000002</v>
      </c>
      <c r="D35" s="26"/>
      <c r="E35" s="27">
        <f>+(C35-C$7)/C$8</f>
        <v>-20722.08867183145</v>
      </c>
      <c r="F35" s="1">
        <f>ROUND(2*E35,0)/2</f>
        <v>-20722</v>
      </c>
      <c r="G35" s="1">
        <f>+C35-(C$7+F35*C$8)</f>
        <v>-5.1467799996316899E-2</v>
      </c>
      <c r="H35" s="1">
        <f>+G35</f>
        <v>-5.1467799996316899E-2</v>
      </c>
      <c r="Q35" s="28">
        <f>+C35-15018.5</f>
        <v>18566.099000000002</v>
      </c>
    </row>
    <row r="36" spans="1:21" x14ac:dyDescent="0.2">
      <c r="A36" s="23" t="s">
        <v>47</v>
      </c>
      <c r="B36" s="24" t="s">
        <v>48</v>
      </c>
      <c r="C36" s="25">
        <v>33981.612000000001</v>
      </c>
      <c r="D36" s="26"/>
      <c r="E36" s="27">
        <f>+(C36-C$7)/C$8</f>
        <v>-20038.09071927868</v>
      </c>
      <c r="F36" s="1">
        <f>ROUND(2*E36,0)/2</f>
        <v>-20038</v>
      </c>
      <c r="G36" s="1">
        <f>+C36-(C$7+F36*C$8)</f>
        <v>-5.2656199994089548E-2</v>
      </c>
      <c r="H36" s="1">
        <f>+G36</f>
        <v>-5.2656199994089548E-2</v>
      </c>
      <c r="Q36" s="28">
        <f>+C36-15018.5</f>
        <v>18963.112000000001</v>
      </c>
    </row>
    <row r="37" spans="1:21" x14ac:dyDescent="0.2">
      <c r="A37" s="23" t="s">
        <v>47</v>
      </c>
      <c r="B37" s="24" t="s">
        <v>48</v>
      </c>
      <c r="C37" s="25">
        <v>34245.705000000002</v>
      </c>
      <c r="D37" s="26"/>
      <c r="E37" s="27">
        <f>+(C37-C$7)/C$8</f>
        <v>-19583.095363248729</v>
      </c>
      <c r="F37" s="1">
        <f>ROUND(2*E37,0)/2</f>
        <v>-19583</v>
      </c>
      <c r="G37" s="1">
        <f>+C37-(C$7+F37*C$8)</f>
        <v>-5.5351699993479997E-2</v>
      </c>
      <c r="H37" s="1">
        <f>+G37</f>
        <v>-5.5351699993479997E-2</v>
      </c>
      <c r="Q37" s="28">
        <f>+C37-15018.5</f>
        <v>19227.205000000002</v>
      </c>
    </row>
    <row r="38" spans="1:21" x14ac:dyDescent="0.2">
      <c r="A38" s="23" t="s">
        <v>47</v>
      </c>
      <c r="B38" s="24" t="s">
        <v>48</v>
      </c>
      <c r="C38" s="25">
        <v>34627.642</v>
      </c>
      <c r="D38" s="26"/>
      <c r="E38" s="27">
        <f>+(C38-C$7)/C$8</f>
        <v>-18925.071253196547</v>
      </c>
      <c r="F38" s="1">
        <f>ROUND(2*E38,0)/2</f>
        <v>-18925</v>
      </c>
      <c r="G38" s="1">
        <f>+C38-(C$7+F38*C$8)</f>
        <v>-4.1357499998412095E-2</v>
      </c>
      <c r="H38" s="1">
        <f>+G38</f>
        <v>-4.1357499998412095E-2</v>
      </c>
      <c r="Q38" s="28">
        <f>+C38-15018.5</f>
        <v>19609.142</v>
      </c>
    </row>
    <row r="39" spans="1:21" x14ac:dyDescent="0.2">
      <c r="A39" s="23" t="s">
        <v>47</v>
      </c>
      <c r="B39" s="24" t="s">
        <v>48</v>
      </c>
      <c r="C39" s="25">
        <v>35002.6</v>
      </c>
      <c r="D39" s="26"/>
      <c r="E39" s="27">
        <f>+(C39-C$7)/C$8</f>
        <v>-18279.070985464052</v>
      </c>
      <c r="F39" s="1">
        <f>ROUND(2*E39,0)/2</f>
        <v>-18279</v>
      </c>
      <c r="G39" s="1">
        <f>+C39-(C$7+F39*C$8)</f>
        <v>-4.1202100001100916E-2</v>
      </c>
      <c r="H39" s="1">
        <f>+G39</f>
        <v>-4.1202100001100916E-2</v>
      </c>
      <c r="Q39" s="28">
        <f>+C39-15018.5</f>
        <v>19984.099999999999</v>
      </c>
    </row>
    <row r="40" spans="1:21" x14ac:dyDescent="0.2">
      <c r="A40" s="1" t="s">
        <v>49</v>
      </c>
      <c r="C40" s="26">
        <v>43042.341999999997</v>
      </c>
      <c r="D40" s="26"/>
      <c r="E40" s="1">
        <f>+(C40-C$7)/C$8</f>
        <v>-4427.7183419674475</v>
      </c>
      <c r="F40" s="1">
        <f>ROUND(2*E40,0)/2</f>
        <v>-4427.5</v>
      </c>
      <c r="G40" s="1">
        <f>+C40-(C$7+F40*C$8)</f>
        <v>-0.12673224999889499</v>
      </c>
      <c r="H40" s="1">
        <f>+G40</f>
        <v>-0.12673224999889499</v>
      </c>
      <c r="Q40" s="28">
        <f>+C40-15018.5</f>
        <v>28023.841999999997</v>
      </c>
      <c r="U40" s="11"/>
    </row>
    <row r="41" spans="1:21" x14ac:dyDescent="0.2">
      <c r="A41" s="1" t="s">
        <v>50</v>
      </c>
      <c r="C41" s="26">
        <v>44194.337</v>
      </c>
      <c r="D41" s="26"/>
      <c r="E41" s="1">
        <f>+(C41-C$7)/C$8</f>
        <v>-2442.9918434622832</v>
      </c>
      <c r="F41" s="1">
        <f>ROUND(2*E41,0)/2</f>
        <v>-2443</v>
      </c>
      <c r="G41" s="1">
        <f>+C41-(C$7+F41*C$8)</f>
        <v>4.7343000042019412E-3</v>
      </c>
      <c r="I41" s="1">
        <f>+G41</f>
        <v>4.7343000042019412E-3</v>
      </c>
      <c r="Q41" s="28">
        <f>+C41-15018.5</f>
        <v>29175.837</v>
      </c>
    </row>
    <row r="42" spans="1:21" x14ac:dyDescent="0.2">
      <c r="A42" s="1" t="s">
        <v>50</v>
      </c>
      <c r="C42" s="26">
        <v>44201.296000000002</v>
      </c>
      <c r="D42" s="26"/>
      <c r="E42" s="1">
        <f>+(C42-C$7)/C$8</f>
        <v>-2431.0024583494114</v>
      </c>
      <c r="F42" s="1">
        <f>ROUND(2*E42,0)/2</f>
        <v>-2431</v>
      </c>
      <c r="G42" s="1">
        <f>+C42-(C$7+F42*C$8)</f>
        <v>-1.4268999948399141E-3</v>
      </c>
      <c r="I42" s="1">
        <f>+G42</f>
        <v>-1.4268999948399141E-3</v>
      </c>
      <c r="Q42" s="28">
        <f>+C42-15018.5</f>
        <v>29182.796000000002</v>
      </c>
    </row>
    <row r="43" spans="1:21" x14ac:dyDescent="0.2">
      <c r="A43" s="1" t="s">
        <v>62</v>
      </c>
      <c r="C43" s="26">
        <f>+C26</f>
        <v>27666.5</v>
      </c>
      <c r="D43" s="26" t="s">
        <v>16</v>
      </c>
      <c r="E43" s="1">
        <f>+(C43-C$7)/C$8</f>
        <v>-30918.146732914091</v>
      </c>
      <c r="F43" s="1">
        <f>ROUND(2*E43,0)/2</f>
        <v>-30918</v>
      </c>
      <c r="G43" s="1">
        <f>+C43-(C$7+F43*C$8)</f>
        <v>-8.516819999931613E-2</v>
      </c>
      <c r="H43" s="1">
        <f>+G43</f>
        <v>-8.516819999931613E-2</v>
      </c>
      <c r="Q43" s="28">
        <f>+C43-15018.5</f>
        <v>12648</v>
      </c>
    </row>
    <row r="44" spans="1:21" x14ac:dyDescent="0.2">
      <c r="A44" s="1" t="s">
        <v>51</v>
      </c>
      <c r="C44" s="26">
        <v>44458.425999999999</v>
      </c>
      <c r="D44" s="26"/>
      <c r="E44" s="1">
        <f>+(C44-C$7)/C$8</f>
        <v>-1988.0033788736962</v>
      </c>
      <c r="F44" s="1">
        <f>ROUND(2*E44,0)/2</f>
        <v>-1988</v>
      </c>
      <c r="G44" s="1">
        <f>+C44-(C$7+F44*C$8)</f>
        <v>-1.9611999960034154E-3</v>
      </c>
      <c r="I44" s="1">
        <f>+G44</f>
        <v>-1.9611999960034154E-3</v>
      </c>
      <c r="Q44" s="28">
        <f>+C44-15018.5</f>
        <v>29439.925999999999</v>
      </c>
    </row>
    <row r="45" spans="1:21" x14ac:dyDescent="0.2">
      <c r="A45" s="1" t="s">
        <v>51</v>
      </c>
      <c r="C45" s="26">
        <v>44458.438999999998</v>
      </c>
      <c r="D45" s="26"/>
      <c r="E45" s="1">
        <f>+(C45-C$7)/C$8</f>
        <v>-1987.980981689265</v>
      </c>
      <c r="F45" s="1">
        <f>ROUND(2*E45,0)/2</f>
        <v>-1988</v>
      </c>
      <c r="G45" s="1">
        <f>+C45-(C$7+F45*C$8)</f>
        <v>1.1038800003007054E-2</v>
      </c>
      <c r="I45" s="1">
        <f>+G45</f>
        <v>1.1038800003007054E-2</v>
      </c>
      <c r="Q45" s="28">
        <f>+C45-15018.5</f>
        <v>29439.938999999998</v>
      </c>
    </row>
    <row r="46" spans="1:21" x14ac:dyDescent="0.2">
      <c r="A46" s="1" t="s">
        <v>52</v>
      </c>
      <c r="C46" s="26">
        <v>44490.353999999999</v>
      </c>
      <c r="D46" s="26"/>
      <c r="E46" s="1">
        <f>+(C46-C$7)/C$8</f>
        <v>-1932.995893906945</v>
      </c>
      <c r="F46" s="1">
        <f>ROUND(2*E46,0)/2</f>
        <v>-1933</v>
      </c>
      <c r="G46" s="1">
        <f>+C46-(C$7+F46*C$8)</f>
        <v>2.3833000013837591E-3</v>
      </c>
      <c r="I46" s="1">
        <f>+G46</f>
        <v>2.3833000013837591E-3</v>
      </c>
      <c r="Q46" s="28">
        <f>+C46-15018.5</f>
        <v>29471.853999999999</v>
      </c>
    </row>
    <row r="47" spans="1:21" x14ac:dyDescent="0.2">
      <c r="A47" s="1" t="s">
        <v>52</v>
      </c>
      <c r="C47" s="26">
        <v>44490.355000000003</v>
      </c>
      <c r="D47" s="26"/>
      <c r="E47" s="1">
        <f>+(C47-C$7)/C$8</f>
        <v>-1932.9941710465973</v>
      </c>
      <c r="F47" s="1">
        <f>ROUND(2*E47,0)/2</f>
        <v>-1933</v>
      </c>
      <c r="G47" s="1">
        <f>+C47-(C$7+F47*C$8)</f>
        <v>3.3833000052254647E-3</v>
      </c>
      <c r="I47" s="1">
        <f>+G47</f>
        <v>3.3833000052254647E-3</v>
      </c>
      <c r="Q47" s="28">
        <f>+C47-15018.5</f>
        <v>29471.855000000003</v>
      </c>
    </row>
    <row r="48" spans="1:21" x14ac:dyDescent="0.2">
      <c r="A48" s="1" t="s">
        <v>53</v>
      </c>
      <c r="C48" s="26">
        <v>46298.387999999999</v>
      </c>
      <c r="D48" s="26"/>
      <c r="E48" s="1">
        <f>+(C48-C$7)/C$8</f>
        <v>1181.9941798332002</v>
      </c>
      <c r="F48" s="1">
        <f>ROUND(2*E48,0)/2</f>
        <v>1182</v>
      </c>
      <c r="G48" s="1">
        <f>+C48-(C$7+F48*C$8)</f>
        <v>-3.378199995495379E-3</v>
      </c>
      <c r="I48" s="1">
        <f>+G48</f>
        <v>-3.378199995495379E-3</v>
      </c>
      <c r="Q48" s="28">
        <f>+C48-15018.5</f>
        <v>31279.887999999999</v>
      </c>
    </row>
    <row r="49" spans="1:17" x14ac:dyDescent="0.2">
      <c r="A49" s="1" t="s">
        <v>54</v>
      </c>
      <c r="C49" s="26">
        <v>48189.423000000003</v>
      </c>
      <c r="D49" s="26"/>
      <c r="E49" s="1">
        <f>+(C49-C$7)/C$8</f>
        <v>4439.9833847348818</v>
      </c>
      <c r="F49" s="1">
        <f>ROUND(2*E49,0)/2</f>
        <v>4440</v>
      </c>
      <c r="G49" s="1">
        <f>+C49-(C$7+F49*C$8)</f>
        <v>-9.6439999906579033E-3</v>
      </c>
      <c r="I49" s="1">
        <f>+G49</f>
        <v>-9.6439999906579033E-3</v>
      </c>
      <c r="Q49" s="28">
        <f>+C49-15018.5</f>
        <v>33170.923000000003</v>
      </c>
    </row>
    <row r="50" spans="1:17" x14ac:dyDescent="0.2">
      <c r="A50" s="1" t="s">
        <v>55</v>
      </c>
      <c r="C50" s="26">
        <v>48203.358</v>
      </c>
      <c r="D50" s="26"/>
      <c r="E50" s="1">
        <f>+(C50-C$7)/C$8</f>
        <v>4463.9914435864093</v>
      </c>
      <c r="F50" s="1">
        <f>ROUND(2*E50,0)/2</f>
        <v>4464</v>
      </c>
      <c r="G50" s="1">
        <f>+C50-(C$7+F50*C$8)</f>
        <v>-4.9663999961921945E-3</v>
      </c>
      <c r="I50" s="1">
        <f>+G50</f>
        <v>-4.9663999961921945E-3</v>
      </c>
      <c r="Q50" s="28">
        <f>+C50-15018.5</f>
        <v>33184.858</v>
      </c>
    </row>
    <row r="51" spans="1:17" x14ac:dyDescent="0.2">
      <c r="A51" s="1" t="s">
        <v>56</v>
      </c>
      <c r="C51" s="26">
        <v>48517.375</v>
      </c>
      <c r="D51" s="26">
        <v>6.0000000000000001E-3</v>
      </c>
      <c r="E51" s="1">
        <f>+(C51-C$7)/C$8</f>
        <v>5004.9988792793547</v>
      </c>
      <c r="F51" s="1">
        <f>ROUND(2*E51,0)/2</f>
        <v>5005</v>
      </c>
      <c r="G51" s="1">
        <f>+C51-(C$7+F51*C$8)</f>
        <v>-6.5049999830080196E-4</v>
      </c>
      <c r="I51" s="1">
        <f>+G51</f>
        <v>-6.5049999830080196E-4</v>
      </c>
      <c r="Q51" s="28">
        <f>+C51-15018.5</f>
        <v>33498.875</v>
      </c>
    </row>
    <row r="52" spans="1:17" x14ac:dyDescent="0.2">
      <c r="A52" s="1" t="s">
        <v>57</v>
      </c>
      <c r="C52" s="26">
        <v>48892.332000000002</v>
      </c>
      <c r="D52" s="26">
        <v>5.0000000000000001E-3</v>
      </c>
      <c r="E52" s="1">
        <f>+(C52-C$7)/C$8</f>
        <v>5650.9974241515138</v>
      </c>
      <c r="F52" s="1">
        <f>ROUND(2*E52,0)/2</f>
        <v>5651</v>
      </c>
      <c r="G52" s="1">
        <f>+C52-(C$7+F52*C$8)</f>
        <v>-1.4950999975553714E-3</v>
      </c>
      <c r="I52" s="1">
        <f>+G52</f>
        <v>-1.4950999975553714E-3</v>
      </c>
      <c r="Q52" s="28">
        <f>+C52-15018.5</f>
        <v>33873.832000000002</v>
      </c>
    </row>
    <row r="53" spans="1:17" x14ac:dyDescent="0.2">
      <c r="A53" s="1" t="s">
        <v>57</v>
      </c>
      <c r="C53" s="26">
        <v>48946.321000000004</v>
      </c>
      <c r="D53" s="26">
        <v>5.0000000000000001E-3</v>
      </c>
      <c r="E53" s="1">
        <f>+(C53-C$7)/C$8</f>
        <v>5744.0129311005876</v>
      </c>
      <c r="F53" s="1">
        <f>ROUND(2*E53,0)/2</f>
        <v>5744</v>
      </c>
      <c r="G53" s="1">
        <f>+C53-(C$7+F53*C$8)</f>
        <v>7.5056000059703365E-3</v>
      </c>
      <c r="I53" s="1">
        <f>+G53</f>
        <v>7.5056000059703365E-3</v>
      </c>
      <c r="Q53" s="28">
        <f>+C53-15018.5</f>
        <v>33927.821000000004</v>
      </c>
    </row>
    <row r="54" spans="1:17" x14ac:dyDescent="0.2">
      <c r="A54" s="1" t="s">
        <v>58</v>
      </c>
      <c r="C54" s="26">
        <v>48971.264000000003</v>
      </c>
      <c r="D54" s="26">
        <v>5.0000000000000001E-3</v>
      </c>
      <c r="E54" s="1">
        <f>+(C54-C$7)/C$8</f>
        <v>5786.9862365856052</v>
      </c>
      <c r="F54" s="1">
        <f>ROUND(2*E54,0)/2</f>
        <v>5787</v>
      </c>
      <c r="G54" s="1">
        <f>+C54-(C$7+F54*C$8)</f>
        <v>-7.9886999956215732E-3</v>
      </c>
      <c r="I54" s="1">
        <f>+G54</f>
        <v>-7.9886999956215732E-3</v>
      </c>
      <c r="Q54" s="28">
        <f>+C54-15018.5</f>
        <v>33952.764000000003</v>
      </c>
    </row>
    <row r="55" spans="1:17" x14ac:dyDescent="0.2">
      <c r="A55" s="1" t="s">
        <v>59</v>
      </c>
      <c r="C55" s="26">
        <v>50014.29</v>
      </c>
      <c r="D55" s="26" t="s">
        <v>16</v>
      </c>
      <c r="E55" s="1">
        <f>+(C55-C$7)/C$8</f>
        <v>7583.9743665947108</v>
      </c>
      <c r="F55" s="1">
        <f>ROUND(2*E55,0)/2</f>
        <v>7584</v>
      </c>
      <c r="G55" s="1">
        <f>+C55-(C$7+F55*C$8)</f>
        <v>-1.4878399997542147E-2</v>
      </c>
      <c r="J55" s="1">
        <f>+G55</f>
        <v>-1.4878399997542147E-2</v>
      </c>
      <c r="Q55" s="28">
        <f>+C55-15018.5</f>
        <v>34995.79</v>
      </c>
    </row>
    <row r="56" spans="1:17" x14ac:dyDescent="0.2">
      <c r="A56" s="1" t="s">
        <v>60</v>
      </c>
      <c r="C56" s="26">
        <v>50014.305</v>
      </c>
      <c r="D56" s="26">
        <v>5.0000000000000001E-3</v>
      </c>
      <c r="E56" s="1">
        <f>+(C56-C$7)/C$8</f>
        <v>7584.0002094998245</v>
      </c>
      <c r="F56" s="1">
        <f>ROUND(2*E56,0)/2</f>
        <v>7584</v>
      </c>
      <c r="G56" s="1">
        <f>+C56-(C$7+F56*C$8)</f>
        <v>1.216000018757768E-4</v>
      </c>
      <c r="I56" s="1">
        <f>+G56</f>
        <v>1.216000018757768E-4</v>
      </c>
      <c r="Q56" s="28">
        <f>+C56-15018.5</f>
        <v>34995.805</v>
      </c>
    </row>
    <row r="57" spans="1:17" x14ac:dyDescent="0.2">
      <c r="A57" s="1" t="s">
        <v>61</v>
      </c>
      <c r="C57" s="26">
        <v>50314.375999999997</v>
      </c>
      <c r="D57" s="26">
        <v>5.0000000000000001E-3</v>
      </c>
      <c r="E57" s="1">
        <f>+(C57-C$7)/C$8</f>
        <v>8100.9806348774819</v>
      </c>
      <c r="F57" s="1">
        <f>ROUND(2*E57,0)/2</f>
        <v>8101</v>
      </c>
      <c r="G57" s="1">
        <f>+C57-(C$7+F57*C$8)</f>
        <v>-1.1240100000577513E-2</v>
      </c>
      <c r="I57" s="1">
        <f>+G57</f>
        <v>-1.1240100000577513E-2</v>
      </c>
      <c r="Q57" s="28">
        <f>+C57-15018.5</f>
        <v>35295.875999999997</v>
      </c>
    </row>
    <row r="58" spans="1:17" x14ac:dyDescent="0.2">
      <c r="A58" s="1" t="s">
        <v>61</v>
      </c>
      <c r="C58" s="26">
        <v>50332.366999999998</v>
      </c>
      <c r="D58" s="26">
        <v>5.0000000000000001E-3</v>
      </c>
      <c r="E58" s="1">
        <f>+(C58-C$7)/C$8</f>
        <v>8131.9766152720231</v>
      </c>
      <c r="F58" s="1">
        <f>ROUND(2*E58,0)/2</f>
        <v>8132</v>
      </c>
      <c r="G58" s="1">
        <f>+C58-(C$7+F58*C$8)</f>
        <v>-1.3573199998063501E-2</v>
      </c>
      <c r="I58" s="1">
        <f>+G58</f>
        <v>-1.3573199998063501E-2</v>
      </c>
      <c r="Q58" s="28">
        <f>+C58-15018.5</f>
        <v>35313.866999999998</v>
      </c>
    </row>
    <row r="59" spans="1:17" x14ac:dyDescent="0.2">
      <c r="A59" s="1" t="s">
        <v>61</v>
      </c>
      <c r="C59" s="26">
        <v>50343.402999999998</v>
      </c>
      <c r="D59" s="26">
        <v>5.0000000000000001E-3</v>
      </c>
      <c r="E59" s="1">
        <f>+(C59-C$7)/C$8</f>
        <v>8150.9901019950585</v>
      </c>
      <c r="F59" s="1">
        <f>ROUND(2*E59,0)/2</f>
        <v>8151</v>
      </c>
      <c r="G59" s="1">
        <f>+C59-(C$7+F59*C$8)</f>
        <v>-5.7450999956927262E-3</v>
      </c>
      <c r="I59" s="1">
        <f>+G59</f>
        <v>-5.7450999956927262E-3</v>
      </c>
      <c r="Q59" s="28">
        <f>+C59-15018.5</f>
        <v>35324.902999999998</v>
      </c>
    </row>
    <row r="60" spans="1:17" x14ac:dyDescent="0.2">
      <c r="A60" s="1" t="s">
        <v>61</v>
      </c>
      <c r="C60" s="26">
        <v>50357.322999999997</v>
      </c>
      <c r="D60" s="26">
        <v>5.0000000000000001E-3</v>
      </c>
      <c r="E60" s="1">
        <f>+(C60-C$7)/C$8</f>
        <v>8174.9723179414723</v>
      </c>
      <c r="F60" s="1">
        <f>ROUND(2*E60,0)/2</f>
        <v>8175</v>
      </c>
      <c r="G60" s="1">
        <f>+C60-(C$7+F60*C$8)</f>
        <v>-1.6067500000644941E-2</v>
      </c>
      <c r="I60" s="1">
        <f>+G60</f>
        <v>-1.6067500000644941E-2</v>
      </c>
      <c r="Q60" s="28">
        <f>+C60-15018.5</f>
        <v>35338.822999999997</v>
      </c>
    </row>
    <row r="61" spans="1:17" x14ac:dyDescent="0.2">
      <c r="A61" s="1" t="s">
        <v>63</v>
      </c>
      <c r="C61" s="26">
        <v>50639.404999999999</v>
      </c>
      <c r="D61" s="26">
        <v>5.0000000000000001E-3</v>
      </c>
      <c r="E61" s="1">
        <f>+(C61-C$7)/C$8</f>
        <v>8660.9602086452833</v>
      </c>
      <c r="F61" s="1">
        <f>ROUND(2*E61,0)/2</f>
        <v>8661</v>
      </c>
      <c r="G61" s="1">
        <f>+C61-(C$7+F61*C$8)</f>
        <v>-2.3096099997928832E-2</v>
      </c>
      <c r="I61" s="1">
        <f>+G61</f>
        <v>-2.3096099997928832E-2</v>
      </c>
      <c r="Q61" s="28">
        <f>+C61-15018.5</f>
        <v>35620.904999999999</v>
      </c>
    </row>
    <row r="62" spans="1:17" x14ac:dyDescent="0.2">
      <c r="A62" s="1" t="s">
        <v>63</v>
      </c>
      <c r="C62" s="26">
        <v>50675.411</v>
      </c>
      <c r="D62" s="26">
        <v>5.0000000000000001E-3</v>
      </c>
      <c r="E62" s="1">
        <f>+(C62-C$7)/C$8</f>
        <v>8722.9935180825451</v>
      </c>
      <c r="F62" s="1">
        <f>ROUND(2*E62,0)/2</f>
        <v>8723</v>
      </c>
      <c r="G62" s="1">
        <f>+C62-(C$7+F62*C$8)</f>
        <v>-3.7622999952873215E-3</v>
      </c>
      <c r="I62" s="1">
        <f>+G62</f>
        <v>-3.7622999952873215E-3</v>
      </c>
      <c r="Q62" s="28">
        <f>+C62-15018.5</f>
        <v>35656.911</v>
      </c>
    </row>
    <row r="63" spans="1:17" x14ac:dyDescent="0.2">
      <c r="A63" s="1" t="s">
        <v>64</v>
      </c>
      <c r="C63" s="26">
        <v>50700.351999999999</v>
      </c>
      <c r="D63" s="26">
        <v>5.0000000000000001E-3</v>
      </c>
      <c r="E63" s="1">
        <f>+(C63-C$7)/C$8</f>
        <v>8765.9633778468815</v>
      </c>
      <c r="F63" s="1">
        <f>ROUND(2*E63,0)/2</f>
        <v>8766</v>
      </c>
      <c r="G63" s="1">
        <f>+C63-(C$7+F63*C$8)</f>
        <v>-2.1256599997286685E-2</v>
      </c>
      <c r="I63" s="1">
        <f>+G63</f>
        <v>-2.1256599997286685E-2</v>
      </c>
      <c r="Q63" s="28">
        <f>+C63-15018.5</f>
        <v>35681.851999999999</v>
      </c>
    </row>
    <row r="64" spans="1:17" x14ac:dyDescent="0.2">
      <c r="A64" s="1" t="s">
        <v>64</v>
      </c>
      <c r="C64" s="26">
        <v>50747.374000000003</v>
      </c>
      <c r="D64" s="26">
        <v>6.0000000000000001E-3</v>
      </c>
      <c r="E64" s="1">
        <f>+(C64-C$7)/C$8</f>
        <v>8846.9757168003653</v>
      </c>
      <c r="F64" s="1">
        <f>ROUND(2*E64,0)/2</f>
        <v>8847</v>
      </c>
      <c r="G64" s="1">
        <f>+C64-(C$7+F64*C$8)</f>
        <v>-1.4094699996348936E-2</v>
      </c>
      <c r="I64" s="1">
        <f>+G64</f>
        <v>-1.4094699996348936E-2</v>
      </c>
      <c r="Q64" s="28">
        <f>+C64-15018.5</f>
        <v>35728.874000000003</v>
      </c>
    </row>
    <row r="65" spans="1:21" x14ac:dyDescent="0.2">
      <c r="A65" s="1" t="s">
        <v>65</v>
      </c>
      <c r="C65" s="26">
        <v>50750.273800000003</v>
      </c>
      <c r="D65" s="26">
        <v>4.0000000000000002E-4</v>
      </c>
      <c r="E65" s="1">
        <f>+(C65-C$7)/C$8</f>
        <v>8851.9716672171307</v>
      </c>
      <c r="F65" s="1">
        <f>ROUND(2*E65,0)/2</f>
        <v>8852</v>
      </c>
      <c r="G65" s="1">
        <f>+C65-(C$7+F65*C$8)</f>
        <v>-1.6445199995359872E-2</v>
      </c>
      <c r="J65" s="1">
        <f>+G65</f>
        <v>-1.6445199995359872E-2</v>
      </c>
      <c r="Q65" s="28">
        <f>+C65-15018.5</f>
        <v>35731.773800000003</v>
      </c>
    </row>
    <row r="66" spans="1:21" x14ac:dyDescent="0.2">
      <c r="A66" s="23" t="s">
        <v>66</v>
      </c>
      <c r="B66" s="24" t="s">
        <v>48</v>
      </c>
      <c r="C66" s="25">
        <v>51479.291599999997</v>
      </c>
      <c r="D66" s="26"/>
      <c r="E66" s="27">
        <f>+(C66-C$7)/C$8</f>
        <v>10107.967522704286</v>
      </c>
      <c r="F66" s="1">
        <f>ROUND(2*E66,0)/2</f>
        <v>10108</v>
      </c>
      <c r="G66" s="1">
        <f>+C66-(C$7+F66*C$8)</f>
        <v>-1.8850799999199808E-2</v>
      </c>
      <c r="J66" s="1">
        <f>+G66</f>
        <v>-1.8850799999199808E-2</v>
      </c>
      <c r="O66" s="1">
        <f ca="1">+C$11+C$12*$F66</f>
        <v>5.8283185111957861E-3</v>
      </c>
      <c r="Q66" s="28">
        <f>+C66-15018.5</f>
        <v>36460.791599999997</v>
      </c>
    </row>
    <row r="67" spans="1:21" x14ac:dyDescent="0.2">
      <c r="A67" s="1" t="s">
        <v>67</v>
      </c>
      <c r="C67" s="26">
        <v>51486.257100000003</v>
      </c>
      <c r="D67" s="26">
        <v>8.9999999999999998E-4</v>
      </c>
      <c r="E67" s="1">
        <f>+(C67-C$7)/C$8</f>
        <v>10119.968106409378</v>
      </c>
      <c r="F67" s="1">
        <f>ROUND(2*E67,0)/2</f>
        <v>10120</v>
      </c>
      <c r="G67" s="1">
        <f>+C67-(C$7+F67*C$8)</f>
        <v>-1.8511999995098449E-2</v>
      </c>
      <c r="J67" s="1">
        <f>+G67</f>
        <v>-1.8511999995098449E-2</v>
      </c>
      <c r="O67" s="1">
        <f ca="1">+C$11+C$12*$F67</f>
        <v>5.7648204022654678E-3</v>
      </c>
      <c r="Q67" s="28">
        <f>+C67-15018.5</f>
        <v>36467.757100000003</v>
      </c>
    </row>
    <row r="68" spans="1:21" x14ac:dyDescent="0.2">
      <c r="A68" s="29" t="s">
        <v>68</v>
      </c>
      <c r="B68" s="30" t="s">
        <v>48</v>
      </c>
      <c r="C68" s="29">
        <v>51797.370999999999</v>
      </c>
      <c r="D68" s="29" t="s">
        <v>34</v>
      </c>
      <c r="E68" s="1">
        <f>+(C68-C$7)/C$8</f>
        <v>10655.973906246425</v>
      </c>
      <c r="F68" s="1">
        <f>ROUND(2*E68,0)/2</f>
        <v>10656</v>
      </c>
      <c r="G68" s="1">
        <f>+C68-(C$7+F68*C$8)</f>
        <v>-1.5145599994866643E-2</v>
      </c>
      <c r="J68" s="1">
        <f>+G68</f>
        <v>-1.5145599994866643E-2</v>
      </c>
      <c r="O68" s="1">
        <f ca="1">+C$11+C$12*$F68</f>
        <v>2.9285715367109999E-3</v>
      </c>
      <c r="Q68" s="28">
        <f>+C68-15018.5</f>
        <v>36778.870999999999</v>
      </c>
      <c r="U68" s="11"/>
    </row>
    <row r="69" spans="1:21" x14ac:dyDescent="0.2">
      <c r="A69" s="31" t="s">
        <v>69</v>
      </c>
      <c r="B69" s="27"/>
      <c r="C69" s="32">
        <v>51814.77876658272</v>
      </c>
      <c r="D69" s="33">
        <v>9.0000000000000006E-5</v>
      </c>
      <c r="E69" s="1">
        <f>+(C69-C$7)/C$8</f>
        <v>10685.965056916801</v>
      </c>
      <c r="F69" s="1">
        <f>ROUND(2*E69,0)/2</f>
        <v>10686</v>
      </c>
      <c r="G69" s="1">
        <f>+C69-(C$7+F69*C$8)</f>
        <v>-2.0282017278077547E-2</v>
      </c>
      <c r="K69" s="1">
        <f>+G69</f>
        <v>-2.0282017278077547E-2</v>
      </c>
      <c r="O69" s="1">
        <f ca="1">+C$11+C$12*$F69</f>
        <v>2.7698262643851904E-3</v>
      </c>
      <c r="Q69" s="28">
        <f>+C69-15018.5</f>
        <v>36796.27876658272</v>
      </c>
    </row>
    <row r="70" spans="1:21" x14ac:dyDescent="0.2">
      <c r="A70" s="34" t="s">
        <v>70</v>
      </c>
      <c r="B70" s="35"/>
      <c r="C70" s="34">
        <v>52141.559800000003</v>
      </c>
      <c r="D70" s="36">
        <v>2.5999999999999999E-3</v>
      </c>
      <c r="E70" s="1">
        <f>+(C70-C$7)/C$8</f>
        <v>11248.963139575302</v>
      </c>
      <c r="F70" s="1">
        <f>ROUND(2*E70,0)/2</f>
        <v>11249</v>
      </c>
      <c r="G70" s="1">
        <f>+C70-(C$7+F70*C$8)</f>
        <v>-2.1394899995357264E-2</v>
      </c>
      <c r="K70" s="1">
        <f>+G70</f>
        <v>-2.1394899995357264E-2</v>
      </c>
      <c r="O70" s="1">
        <f ca="1">+C$11+C$12*$F70</f>
        <v>-2.09293346262511E-4</v>
      </c>
      <c r="Q70" s="28">
        <f>+C70-15018.5</f>
        <v>37123.059800000003</v>
      </c>
    </row>
    <row r="71" spans="1:21" x14ac:dyDescent="0.2">
      <c r="A71" s="37" t="s">
        <v>70</v>
      </c>
      <c r="B71" s="38"/>
      <c r="C71" s="39">
        <v>52141.559800000003</v>
      </c>
      <c r="D71" s="39">
        <v>2.5999999999999999E-3</v>
      </c>
      <c r="E71" s="1">
        <f>+(C71-C$7)/C$8</f>
        <v>11248.963139575302</v>
      </c>
      <c r="F71" s="1">
        <f>ROUND(2*E71,0)/2</f>
        <v>11249</v>
      </c>
      <c r="G71" s="1">
        <f>+C71-(C$7+F71*C$8)</f>
        <v>-2.1394899995357264E-2</v>
      </c>
      <c r="K71" s="1">
        <f>+G71</f>
        <v>-2.1394899995357264E-2</v>
      </c>
      <c r="O71" s="1">
        <f ca="1">+C$11+C$12*$F71</f>
        <v>-2.09293346262511E-4</v>
      </c>
      <c r="Q71" s="28">
        <f>+C71-15018.5</f>
        <v>37123.059800000003</v>
      </c>
    </row>
    <row r="72" spans="1:21" x14ac:dyDescent="0.2">
      <c r="A72" s="40" t="s">
        <v>71</v>
      </c>
      <c r="B72" s="35"/>
      <c r="C72" s="41">
        <v>52151.426299999999</v>
      </c>
      <c r="D72" s="41">
        <v>1.1999999999999999E-3</v>
      </c>
      <c r="E72" s="1">
        <f>+(C72-C$7)/C$8</f>
        <v>11265.961741129557</v>
      </c>
      <c r="F72" s="1">
        <f>ROUND(2*E72,0)/2</f>
        <v>11266</v>
      </c>
      <c r="G72" s="1">
        <f>+C72-(C$7+F72*C$8)</f>
        <v>-2.2206599998753518E-2</v>
      </c>
      <c r="J72" s="1">
        <f>+G72</f>
        <v>-2.2206599998753518E-2</v>
      </c>
      <c r="O72" s="1">
        <f ca="1">+C$11+C$12*$F72</f>
        <v>-2.9924900058046766E-4</v>
      </c>
      <c r="Q72" s="28">
        <f>+C72-15018.5</f>
        <v>37132.926299999999</v>
      </c>
    </row>
    <row r="73" spans="1:21" x14ac:dyDescent="0.2">
      <c r="A73" s="23" t="s">
        <v>72</v>
      </c>
      <c r="B73" s="24" t="s">
        <v>48</v>
      </c>
      <c r="C73" s="25">
        <v>52194.3776</v>
      </c>
      <c r="D73" s="26"/>
      <c r="E73" s="27">
        <f>+(C73-C$7)/C$8</f>
        <v>11339.960832493014</v>
      </c>
      <c r="F73" s="1">
        <f>ROUND(2*E73,0)/2</f>
        <v>11340</v>
      </c>
      <c r="G73" s="1">
        <f>+C73-(C$7+F73*C$8)</f>
        <v>-2.2733999998308718E-2</v>
      </c>
      <c r="J73" s="1">
        <f>+G73</f>
        <v>-2.2733999998308718E-2</v>
      </c>
      <c r="O73" s="1">
        <f ca="1">+C$11+C$12*$F73</f>
        <v>-6.908206723174673E-4</v>
      </c>
      <c r="Q73" s="28">
        <f>+C73-15018.5</f>
        <v>37175.8776</v>
      </c>
    </row>
    <row r="74" spans="1:21" x14ac:dyDescent="0.2">
      <c r="A74" s="42" t="s">
        <v>73</v>
      </c>
      <c r="B74" s="43" t="s">
        <v>48</v>
      </c>
      <c r="C74" s="44">
        <v>52503.746599999999</v>
      </c>
      <c r="D74" s="44">
        <v>2.9999999999999997E-4</v>
      </c>
      <c r="E74" s="27">
        <f>+(C74-C$7)/C$8</f>
        <v>11872.960413321092</v>
      </c>
      <c r="F74" s="1">
        <f>ROUND(2*E74,0)/2</f>
        <v>11873</v>
      </c>
      <c r="G74" s="1">
        <f>+C74-(C$7+F74*C$8)</f>
        <v>-2.2977299995545764E-2</v>
      </c>
      <c r="K74" s="1">
        <f>+G74</f>
        <v>-2.2977299995545764E-2</v>
      </c>
      <c r="O74" s="1">
        <f ca="1">+C$11+C$12*$F74</f>
        <v>-3.5111950106393591E-3</v>
      </c>
      <c r="Q74" s="28">
        <f>+C74-15018.5</f>
        <v>37485.246599999999</v>
      </c>
    </row>
    <row r="75" spans="1:21" x14ac:dyDescent="0.2">
      <c r="A75" s="31" t="s">
        <v>74</v>
      </c>
      <c r="B75" s="27"/>
      <c r="C75" s="45">
        <v>52834.8796</v>
      </c>
      <c r="D75" s="32">
        <v>2.0000000000000001E-4</v>
      </c>
      <c r="E75" s="1">
        <f>+(C75-C$7)/C$8</f>
        <v>12443.456326610223</v>
      </c>
      <c r="F75" s="1">
        <f>ROUND(2*E75,0)/2</f>
        <v>12443.5</v>
      </c>
      <c r="G75" s="1">
        <f>+C75-(C$7+F75*C$8)</f>
        <v>-2.5349349998577964E-2</v>
      </c>
      <c r="K75" s="1">
        <f>+G75</f>
        <v>-2.5349349998577964E-2</v>
      </c>
      <c r="O75" s="1">
        <f ca="1">+C$11+C$12*$F75</f>
        <v>-6.5300009393685077E-3</v>
      </c>
      <c r="Q75" s="28">
        <f>+C75-15018.5</f>
        <v>37816.3796</v>
      </c>
    </row>
    <row r="76" spans="1:21" x14ac:dyDescent="0.2">
      <c r="A76" s="46" t="s">
        <v>75</v>
      </c>
      <c r="B76" s="38"/>
      <c r="C76" s="32">
        <v>53287.325199999999</v>
      </c>
      <c r="D76" s="32">
        <v>2.5000000000000001E-3</v>
      </c>
      <c r="E76" s="1">
        <f>+(C76-C$7)/C$8</f>
        <v>13222.956907300299</v>
      </c>
      <c r="F76" s="1">
        <f>ROUND(2*E76,0)/2</f>
        <v>13223</v>
      </c>
      <c r="G76" s="1">
        <f>+C76-(C$7+F76*C$8)</f>
        <v>-2.5012299993250053E-2</v>
      </c>
      <c r="J76" s="1">
        <f>+G76</f>
        <v>-2.5012299993250053E-2</v>
      </c>
      <c r="O76" s="1">
        <f ca="1">+C$11+C$12*$F76</f>
        <v>-1.0654732265300795E-2</v>
      </c>
      <c r="Q76" s="28">
        <f>+C76-15018.5</f>
        <v>38268.825199999999</v>
      </c>
    </row>
    <row r="77" spans="1:21" x14ac:dyDescent="0.2">
      <c r="A77" s="37" t="s">
        <v>76</v>
      </c>
      <c r="B77" s="47" t="s">
        <v>48</v>
      </c>
      <c r="C77" s="32">
        <v>53341.304900000003</v>
      </c>
      <c r="D77" s="32">
        <v>5.9999999999999995E-4</v>
      </c>
      <c r="E77" s="1">
        <f>+(C77-C$7)/C$8</f>
        <v>13315.956391648206</v>
      </c>
      <c r="F77" s="1">
        <f>ROUND(2*E77,0)/2</f>
        <v>13316</v>
      </c>
      <c r="G77" s="1">
        <f>+C77-(C$7+F77*C$8)</f>
        <v>-2.5311599994893186E-2</v>
      </c>
      <c r="K77" s="1">
        <f>+G77</f>
        <v>-2.5311599994893186E-2</v>
      </c>
      <c r="O77" s="1">
        <f ca="1">+C$11+C$12*$F77</f>
        <v>-1.1146842609510807E-2</v>
      </c>
      <c r="Q77" s="28">
        <f>+C77-15018.5</f>
        <v>38322.804900000003</v>
      </c>
    </row>
    <row r="78" spans="1:21" x14ac:dyDescent="0.2">
      <c r="A78" s="37" t="s">
        <v>77</v>
      </c>
      <c r="B78" s="48"/>
      <c r="C78" s="32">
        <v>53648.347300000001</v>
      </c>
      <c r="D78" s="32">
        <v>5.5999999999999999E-3</v>
      </c>
      <c r="E78" s="1">
        <f>+(C78-C$7)/C$8</f>
        <v>13844.947565606961</v>
      </c>
      <c r="F78" s="1">
        <f>ROUND(2*E78,0)/2</f>
        <v>13845</v>
      </c>
      <c r="G78" s="1">
        <f>+C78-(C$7+F78*C$8)</f>
        <v>-3.0434499996772502E-2</v>
      </c>
      <c r="J78" s="1">
        <f>+G78</f>
        <v>-3.0434499996772502E-2</v>
      </c>
      <c r="O78" s="1">
        <f ca="1">+C$11+C$12*$F78</f>
        <v>-1.3946050911522581E-2</v>
      </c>
      <c r="Q78" s="28">
        <f>+C78-15018.5</f>
        <v>38629.847300000001</v>
      </c>
    </row>
    <row r="79" spans="1:21" x14ac:dyDescent="0.2">
      <c r="A79" s="32" t="s">
        <v>78</v>
      </c>
      <c r="B79" s="38"/>
      <c r="C79" s="32">
        <v>53941.4686</v>
      </c>
      <c r="D79" s="32">
        <v>4.0000000000000002E-4</v>
      </c>
      <c r="E79" s="1">
        <f>+(C79-C$7)/C$8</f>
        <v>14349.954628472928</v>
      </c>
      <c r="F79" s="1">
        <f>ROUND(2*E79,0)/2</f>
        <v>14350</v>
      </c>
      <c r="G79" s="1">
        <f>+C79-(C$7+F79*C$8)</f>
        <v>-2.6334999995015096E-2</v>
      </c>
      <c r="J79" s="1">
        <f>+G79</f>
        <v>-2.6334999995015096E-2</v>
      </c>
      <c r="O79" s="1">
        <f ca="1">+C$11+C$12*$F79</f>
        <v>-1.6618262995673719E-2</v>
      </c>
      <c r="Q79" s="28">
        <f>+C79-15018.5</f>
        <v>38922.9686</v>
      </c>
    </row>
    <row r="80" spans="1:21" x14ac:dyDescent="0.2">
      <c r="A80" s="23" t="s">
        <v>79</v>
      </c>
      <c r="B80" s="24" t="s">
        <v>48</v>
      </c>
      <c r="C80" s="25">
        <v>53950.175900000002</v>
      </c>
      <c r="D80" s="26"/>
      <c r="E80" s="27">
        <f>+(C80-C$7)/C$8</f>
        <v>14364.956090319931</v>
      </c>
      <c r="F80" s="1">
        <f>ROUND(2*E80,0)/2</f>
        <v>14365</v>
      </c>
      <c r="G80" s="1">
        <f>+C80-(C$7+F80*C$8)</f>
        <v>-2.5486499995167833E-2</v>
      </c>
      <c r="K80" s="1">
        <f>+G80</f>
        <v>-2.5486499995167833E-2</v>
      </c>
      <c r="O80" s="1">
        <f ca="1">+C$11+C$12*$F80</f>
        <v>-1.6697635631836613E-2</v>
      </c>
      <c r="Q80" s="28">
        <f>+C80-15018.5</f>
        <v>38931.675900000002</v>
      </c>
    </row>
    <row r="81" spans="1:17" x14ac:dyDescent="0.2">
      <c r="A81" s="23" t="s">
        <v>79</v>
      </c>
      <c r="B81" s="24" t="s">
        <v>45</v>
      </c>
      <c r="C81" s="25">
        <v>53984.131800000003</v>
      </c>
      <c r="D81" s="26"/>
      <c r="E81" s="27">
        <f>+(C81-C$7)/C$8</f>
        <v>14423.457363772153</v>
      </c>
      <c r="F81" s="1">
        <f>ROUND(2*E81,0)/2</f>
        <v>14423.5</v>
      </c>
      <c r="G81" s="1">
        <f>+C81-(C$7+F81*C$8)</f>
        <v>-2.4747349991230294E-2</v>
      </c>
      <c r="K81" s="1">
        <f>+G81</f>
        <v>-2.4747349991230294E-2</v>
      </c>
      <c r="O81" s="1">
        <f ca="1">+C$11+C$12*$F81</f>
        <v>-1.7007188912871951E-2</v>
      </c>
      <c r="Q81" s="28">
        <f>+C81-15018.5</f>
        <v>38965.631800000003</v>
      </c>
    </row>
    <row r="82" spans="1:17" x14ac:dyDescent="0.2">
      <c r="A82" s="32" t="s">
        <v>80</v>
      </c>
      <c r="B82" s="38" t="s">
        <v>48</v>
      </c>
      <c r="C82" s="39">
        <v>53991.380700000002</v>
      </c>
      <c r="D82" s="39">
        <v>1.1000000000000001E-3</v>
      </c>
      <c r="E82" s="1">
        <f>+(C82-C$7)/C$8</f>
        <v>14435.946206097868</v>
      </c>
      <c r="F82" s="1">
        <f>ROUND(2*E82,0)/2</f>
        <v>14436</v>
      </c>
      <c r="G82" s="1">
        <f>+C82-(C$7+F82*C$8)</f>
        <v>-3.1223599995428231E-2</v>
      </c>
      <c r="K82" s="1">
        <f>+G82</f>
        <v>-3.1223599995428231E-2</v>
      </c>
      <c r="O82" s="1">
        <f ca="1">+C$11+C$12*$F82</f>
        <v>-1.707333277634103E-2</v>
      </c>
      <c r="Q82" s="28">
        <f>+C82-15018.5</f>
        <v>38972.880700000002</v>
      </c>
    </row>
    <row r="83" spans="1:17" x14ac:dyDescent="0.2">
      <c r="A83" s="29" t="s">
        <v>68</v>
      </c>
      <c r="B83" s="30" t="s">
        <v>48</v>
      </c>
      <c r="C83" s="29">
        <v>54048.266580000003</v>
      </c>
      <c r="D83" s="29">
        <v>4.0000000000000002E-4</v>
      </c>
      <c r="E83" s="1">
        <f>+(C83-C$7)/C$8</f>
        <v>14533.952632711515</v>
      </c>
      <c r="F83" s="1">
        <f>ROUND(2*E83,0)/2</f>
        <v>14534</v>
      </c>
      <c r="G83" s="1">
        <f>+C83-(C$7+F83*C$8)</f>
        <v>-2.7493399997183587E-2</v>
      </c>
      <c r="K83" s="1">
        <f>+G83</f>
        <v>-2.7493399997183587E-2</v>
      </c>
      <c r="O83" s="1">
        <f ca="1">+C$11+C$12*$F83</f>
        <v>-1.7591900665938673E-2</v>
      </c>
      <c r="Q83" s="28">
        <f>+C83-15018.5</f>
        <v>39029.766580000003</v>
      </c>
    </row>
    <row r="84" spans="1:17" x14ac:dyDescent="0.2">
      <c r="A84" s="29" t="s">
        <v>68</v>
      </c>
      <c r="B84" s="30" t="s">
        <v>48</v>
      </c>
      <c r="C84" s="29">
        <v>54055.23199</v>
      </c>
      <c r="D84" s="29">
        <v>2.5000000000000001E-3</v>
      </c>
      <c r="E84" s="27">
        <f>+(C84-C$7)/C$8</f>
        <v>14545.953061359161</v>
      </c>
      <c r="F84" s="1">
        <f>ROUND(2*E84,0)/2</f>
        <v>14546</v>
      </c>
      <c r="G84" s="1">
        <f>+C84-(C$7+F84*C$8)</f>
        <v>-2.7244599994446617E-2</v>
      </c>
      <c r="K84" s="1">
        <f>+G84</f>
        <v>-2.7244599994446617E-2</v>
      </c>
      <c r="O84" s="1">
        <f ca="1">+C$11+C$12*$F84</f>
        <v>-1.7655398774869005E-2</v>
      </c>
      <c r="Q84" s="28">
        <f>+C84-15018.5</f>
        <v>39036.73199</v>
      </c>
    </row>
    <row r="85" spans="1:17" x14ac:dyDescent="0.2">
      <c r="A85" s="37" t="s">
        <v>81</v>
      </c>
      <c r="B85" s="47" t="s">
        <v>45</v>
      </c>
      <c r="C85" s="32">
        <v>54788.605600000003</v>
      </c>
      <c r="D85" s="32">
        <v>1E-4</v>
      </c>
      <c r="E85" s="27">
        <f>+(C85-C$7)/C$8</f>
        <v>15809.453369148167</v>
      </c>
      <c r="F85" s="1">
        <f>ROUND(2*E85,0)/2</f>
        <v>15809.5</v>
      </c>
      <c r="G85" s="1">
        <f>+C85-(C$7+F85*C$8)</f>
        <v>-2.706594999472145E-2</v>
      </c>
      <c r="K85" s="1">
        <f>+G85</f>
        <v>-2.706594999472145E-2</v>
      </c>
      <c r="O85" s="1">
        <f ca="1">+C$11+C$12*$F85</f>
        <v>-2.4341220494324356E-2</v>
      </c>
      <c r="Q85" s="28">
        <f>+C85-15018.5</f>
        <v>39770.105600000003</v>
      </c>
    </row>
    <row r="86" spans="1:17" x14ac:dyDescent="0.2">
      <c r="A86" s="37" t="s">
        <v>81</v>
      </c>
      <c r="B86" s="47" t="s">
        <v>48</v>
      </c>
      <c r="C86" s="32">
        <v>54793.536200000002</v>
      </c>
      <c r="D86" s="32">
        <v>1E-4</v>
      </c>
      <c r="E86" s="27">
        <f>+(C86-C$7)/C$8</f>
        <v>15817.948104345392</v>
      </c>
      <c r="F86" s="1">
        <f>ROUND(2*E86,0)/2</f>
        <v>15818</v>
      </c>
      <c r="G86" s="1">
        <f>+C86-(C$7+F86*C$8)</f>
        <v>-3.0121799994958565E-2</v>
      </c>
      <c r="K86" s="1">
        <f>+G86</f>
        <v>-3.0121799994958565E-2</v>
      </c>
      <c r="O86" s="1">
        <f ca="1">+C$11+C$12*$F86</f>
        <v>-2.4386198321483338E-2</v>
      </c>
      <c r="Q86" s="28">
        <f>+C86-15018.5</f>
        <v>39775.036200000002</v>
      </c>
    </row>
    <row r="87" spans="1:17" x14ac:dyDescent="0.2">
      <c r="A87" s="23" t="s">
        <v>82</v>
      </c>
      <c r="B87" s="24" t="s">
        <v>48</v>
      </c>
      <c r="C87" s="25">
        <v>55070.392999999996</v>
      </c>
      <c r="D87" s="26"/>
      <c r="E87" s="27">
        <f>+(C87-C$7)/C$8</f>
        <v>16294.93370519551</v>
      </c>
      <c r="F87" s="1">
        <f>ROUND(2*E87,0)/2</f>
        <v>16295</v>
      </c>
      <c r="G87" s="1">
        <f>+C87-(C$7+F87*C$8)</f>
        <v>-3.847949999908451E-2</v>
      </c>
      <c r="K87" s="1">
        <f>+G87</f>
        <v>-3.847949999908451E-2</v>
      </c>
      <c r="O87" s="1">
        <f ca="1">+C$11+C$12*$F87</f>
        <v>-2.6910248151463714E-2</v>
      </c>
      <c r="Q87" s="28">
        <f>+C87-15018.5</f>
        <v>40051.892999999996</v>
      </c>
    </row>
    <row r="88" spans="1:17" x14ac:dyDescent="0.2">
      <c r="A88" s="23" t="s">
        <v>82</v>
      </c>
      <c r="B88" s="24" t="s">
        <v>48</v>
      </c>
      <c r="C88" s="25">
        <v>55077.365100000003</v>
      </c>
      <c r="D88" s="26"/>
      <c r="E88" s="27">
        <f>+(C88-C$7)/C$8</f>
        <v>16306.945659778856</v>
      </c>
      <c r="F88" s="1">
        <f>ROUND(2*E88,0)/2</f>
        <v>16307</v>
      </c>
      <c r="G88" s="1">
        <f>+C88-(C$7+F88*C$8)</f>
        <v>-3.154069999436615E-2</v>
      </c>
      <c r="K88" s="1">
        <f>+G88</f>
        <v>-3.154069999436615E-2</v>
      </c>
      <c r="O88" s="1">
        <f ca="1">+C$11+C$12*$F88</f>
        <v>-2.6973746260394033E-2</v>
      </c>
      <c r="Q88" s="28">
        <f>+C88-15018.5</f>
        <v>40058.865100000003</v>
      </c>
    </row>
    <row r="89" spans="1:17" x14ac:dyDescent="0.2">
      <c r="A89" s="37" t="s">
        <v>83</v>
      </c>
      <c r="B89" s="47" t="s">
        <v>48</v>
      </c>
      <c r="C89" s="32">
        <v>55116.250599999999</v>
      </c>
      <c r="D89" s="32">
        <v>1E-4</v>
      </c>
      <c r="E89" s="27">
        <f>+(C89-C$7)/C$8</f>
        <v>16373.939945567956</v>
      </c>
      <c r="F89" s="1">
        <f>ROUND(2*E89,0)/2</f>
        <v>16374</v>
      </c>
      <c r="G89" s="1">
        <f>+C89-(C$7+F89*C$8)</f>
        <v>-3.4857399994507432E-2</v>
      </c>
      <c r="K89" s="1">
        <f>+G89</f>
        <v>-3.4857399994507432E-2</v>
      </c>
      <c r="O89" s="1">
        <f ca="1">+C$11+C$12*$F89</f>
        <v>-2.7328277368588338E-2</v>
      </c>
      <c r="Q89" s="28">
        <f>+C89-15018.5</f>
        <v>40097.750599999999</v>
      </c>
    </row>
    <row r="90" spans="1:17" x14ac:dyDescent="0.2">
      <c r="A90" s="40" t="s">
        <v>84</v>
      </c>
      <c r="B90" s="49" t="s">
        <v>48</v>
      </c>
      <c r="C90" s="40">
        <v>55135.410100000001</v>
      </c>
      <c r="D90" s="40">
        <v>1.2999999999999999E-3</v>
      </c>
      <c r="E90" s="27">
        <f>+(C90-C$7)/C$8</f>
        <v>16406.949088270932</v>
      </c>
      <c r="F90" s="1">
        <f>ROUND(2*E90,0)/2</f>
        <v>16407</v>
      </c>
      <c r="G90" s="1">
        <f>+C90-(C$7+F90*C$8)</f>
        <v>-2.9550699997344054E-2</v>
      </c>
      <c r="K90" s="1">
        <f>+G90</f>
        <v>-2.9550699997344054E-2</v>
      </c>
      <c r="O90" s="1">
        <f ca="1">+C$11+C$12*$F90</f>
        <v>-2.7502897168146731E-2</v>
      </c>
      <c r="Q90" s="28">
        <f>+C90-15018.5</f>
        <v>40116.910100000001</v>
      </c>
    </row>
    <row r="91" spans="1:17" x14ac:dyDescent="0.2">
      <c r="A91" s="40" t="s">
        <v>84</v>
      </c>
      <c r="B91" s="49" t="s">
        <v>45</v>
      </c>
      <c r="C91" s="40">
        <v>55147.3105</v>
      </c>
      <c r="D91" s="40">
        <v>2.2000000000000001E-3</v>
      </c>
      <c r="E91" s="27">
        <f>+(C91-C$7)/C$8</f>
        <v>16427.451815472705</v>
      </c>
      <c r="F91" s="1">
        <f>ROUND(2*E91,0)/2</f>
        <v>16427.5</v>
      </c>
      <c r="G91" s="1">
        <f>+C91-(C$7+F91*C$8)</f>
        <v>-2.7967750000243541E-2</v>
      </c>
      <c r="K91" s="1">
        <f>+G91</f>
        <v>-2.7967750000243541E-2</v>
      </c>
      <c r="O91" s="1">
        <f ca="1">+C$11+C$12*$F91</f>
        <v>-2.7611373104236045E-2</v>
      </c>
      <c r="Q91" s="28">
        <f>+C91-15018.5</f>
        <v>40128.8105</v>
      </c>
    </row>
    <row r="92" spans="1:17" x14ac:dyDescent="0.2">
      <c r="A92" s="37" t="s">
        <v>85</v>
      </c>
      <c r="B92" s="47" t="s">
        <v>48</v>
      </c>
      <c r="C92" s="32">
        <v>55383.832900000001</v>
      </c>
      <c r="D92" s="32">
        <v>5.0000000000000001E-4</v>
      </c>
      <c r="E92" s="27">
        <f>+(C92-C$7)/C$8</f>
        <v>16834.946878185685</v>
      </c>
      <c r="F92" s="1">
        <f>ROUND(2*E92,0)/2</f>
        <v>16835</v>
      </c>
      <c r="G92" s="1">
        <f>+C92-(C$7+F92*C$8)</f>
        <v>-3.0833499993605074E-2</v>
      </c>
      <c r="K92" s="1">
        <f>+G92</f>
        <v>-3.0833499993605074E-2</v>
      </c>
      <c r="O92" s="1">
        <f ca="1">+C$11+C$12*$F92</f>
        <v>-2.9767663053328286E-2</v>
      </c>
      <c r="Q92" s="28">
        <f>+C92-15018.5</f>
        <v>40365.332900000001</v>
      </c>
    </row>
    <row r="93" spans="1:17" x14ac:dyDescent="0.2">
      <c r="A93" s="32" t="s">
        <v>86</v>
      </c>
      <c r="B93" s="47" t="s">
        <v>48</v>
      </c>
      <c r="C93" s="32">
        <v>56135.482900000003</v>
      </c>
      <c r="D93" s="32">
        <v>2.0000000000000001E-4</v>
      </c>
      <c r="E93" s="27">
        <f>+(C93-C$7)/C$8</f>
        <v>18129.93485348194</v>
      </c>
      <c r="F93" s="1">
        <f>ROUND(2*E93,0)/2</f>
        <v>18130</v>
      </c>
      <c r="G93" s="1">
        <f>+C93-(C$7+F93*C$8)</f>
        <v>-3.7812999995367136E-2</v>
      </c>
      <c r="J93" s="1">
        <f>+G93</f>
        <v>-3.7812999995367136E-2</v>
      </c>
      <c r="O93" s="1">
        <f ca="1">+C$11+C$12*$F93</f>
        <v>-3.6620167308725748E-2</v>
      </c>
      <c r="Q93" s="28">
        <f>+C93-15018.5</f>
        <v>41116.982900000003</v>
      </c>
    </row>
    <row r="94" spans="1:17" x14ac:dyDescent="0.2">
      <c r="A94" s="50" t="s">
        <v>87</v>
      </c>
      <c r="B94" s="51" t="s">
        <v>48</v>
      </c>
      <c r="C94" s="52">
        <v>56923.701500000003</v>
      </c>
      <c r="D94" s="52">
        <v>1E-4</v>
      </c>
      <c r="E94" s="27">
        <f>+(C94-C$7)/C$8</f>
        <v>19487.925419443283</v>
      </c>
      <c r="F94" s="1">
        <f>ROUND(2*E94,0)/2</f>
        <v>19488</v>
      </c>
      <c r="G94" s="1">
        <f>+C94-(C$7+F94*C$8)</f>
        <v>-4.3288799992296845E-2</v>
      </c>
      <c r="K94" s="1">
        <f>+G94</f>
        <v>-4.3288799992296845E-2</v>
      </c>
      <c r="O94" s="1">
        <f ca="1">+C$11+C$12*$F94</f>
        <v>-4.3806036636007406E-2</v>
      </c>
      <c r="Q94" s="28">
        <f>+C94-15018.5</f>
        <v>41905.201500000003</v>
      </c>
    </row>
    <row r="95" spans="1:17" x14ac:dyDescent="0.2">
      <c r="A95" s="50" t="s">
        <v>87</v>
      </c>
      <c r="B95" s="51" t="s">
        <v>48</v>
      </c>
      <c r="C95" s="52">
        <v>57255.705900000001</v>
      </c>
      <c r="D95" s="52">
        <v>1E-4</v>
      </c>
      <c r="E95" s="27">
        <f>+(C95-C$7)/C$8</f>
        <v>20059.922633233538</v>
      </c>
      <c r="F95" s="1">
        <f>ROUND(2*E95,0)/2</f>
        <v>20060</v>
      </c>
      <c r="G95" s="1">
        <f>+C95-(C$7+F95*C$8)</f>
        <v>-4.490599999553524E-2</v>
      </c>
      <c r="K95" s="1">
        <f>+G95</f>
        <v>-4.490599999553524E-2</v>
      </c>
      <c r="O95" s="1">
        <f ca="1">+C$11+C$12*$F95</f>
        <v>-4.6832779828352836E-2</v>
      </c>
      <c r="Q95" s="28">
        <f>+C95-15018.5</f>
        <v>42237.205900000001</v>
      </c>
    </row>
    <row r="96" spans="1:17" x14ac:dyDescent="0.2">
      <c r="A96" s="50" t="s">
        <v>87</v>
      </c>
      <c r="B96" s="51" t="s">
        <v>48</v>
      </c>
      <c r="C96" s="52">
        <v>57309.684600000001</v>
      </c>
      <c r="D96" s="52">
        <v>1E-4</v>
      </c>
      <c r="E96" s="27">
        <f>+(C96-C$7)/C$8</f>
        <v>20152.920394721095</v>
      </c>
      <c r="F96" s="1">
        <f>ROUND(2*E96,0)/2</f>
        <v>20153</v>
      </c>
      <c r="G96" s="1">
        <f>+C96-(C$7+F96*C$8)</f>
        <v>-4.620529999374412E-2</v>
      </c>
      <c r="K96" s="1">
        <f>+G96</f>
        <v>-4.620529999374412E-2</v>
      </c>
      <c r="O96" s="1">
        <f ca="1">+C$11+C$12*$F96</f>
        <v>-4.7324890172562847E-2</v>
      </c>
      <c r="Q96" s="28">
        <f>+C96-15018.5</f>
        <v>42291.184600000001</v>
      </c>
    </row>
    <row r="97" spans="1:17" x14ac:dyDescent="0.2">
      <c r="A97" s="50" t="s">
        <v>88</v>
      </c>
      <c r="B97" s="51" t="s">
        <v>48</v>
      </c>
      <c r="C97" s="52">
        <v>57641.687400000003</v>
      </c>
      <c r="D97" s="52">
        <v>2.0000000000000001E-4</v>
      </c>
      <c r="E97" s="27">
        <f>+(C97-C$7)/C$8</f>
        <v>20724.914851934809</v>
      </c>
      <c r="F97" s="1">
        <f>ROUND(2*E97,0)/2</f>
        <v>20725</v>
      </c>
      <c r="G97" s="1">
        <f>+C97-(C$7+F97*C$8)</f>
        <v>-4.9422499992942903E-2</v>
      </c>
      <c r="K97" s="1">
        <f>+G97</f>
        <v>-4.9422499992942903E-2</v>
      </c>
      <c r="O97" s="1">
        <f ca="1">+C$11+C$12*$F97</f>
        <v>-5.0351633364908291E-2</v>
      </c>
      <c r="Q97" s="28">
        <f>+C97-15018.5</f>
        <v>42623.187400000003</v>
      </c>
    </row>
    <row r="98" spans="1:17" x14ac:dyDescent="0.2">
      <c r="A98" s="53" t="s">
        <v>89</v>
      </c>
      <c r="B98" s="54" t="s">
        <v>48</v>
      </c>
      <c r="C98" s="53">
        <v>58370.699500000002</v>
      </c>
      <c r="D98" s="53">
        <v>1E-4</v>
      </c>
      <c r="E98" s="27">
        <f>+(C98-C$7)/C$8</f>
        <v>21980.90088711803</v>
      </c>
      <c r="F98" s="1">
        <f>ROUND(2*E98,0)/2</f>
        <v>21981</v>
      </c>
      <c r="G98" s="1">
        <f>+C98-(C$7+F98*C$8)</f>
        <v>-5.7528099991031922E-2</v>
      </c>
      <c r="K98" s="1">
        <f>+G98</f>
        <v>-5.7528099991031922E-2</v>
      </c>
      <c r="O98" s="1">
        <f ca="1">+C$11+C$12*$F98</f>
        <v>-5.6997768766282195E-2</v>
      </c>
      <c r="Q98" s="28">
        <f>+C98-15018.5</f>
        <v>43352.199500000002</v>
      </c>
    </row>
    <row r="99" spans="1:17" ht="12" customHeight="1" x14ac:dyDescent="0.2">
      <c r="A99" s="55" t="s">
        <v>90</v>
      </c>
      <c r="B99" s="56" t="s">
        <v>48</v>
      </c>
      <c r="C99" s="57">
        <v>58774.6754</v>
      </c>
      <c r="D99" s="57">
        <v>1E-4</v>
      </c>
      <c r="E99" s="27">
        <f>+(C99-C$7)/C$8</f>
        <v>22676.894943938994</v>
      </c>
      <c r="F99" s="1">
        <f>ROUND(2*E99,0)/2</f>
        <v>22677</v>
      </c>
      <c r="G99" s="1">
        <f>+C99-(C$7+F99*C$8)</f>
        <v>-6.0977699999057222E-2</v>
      </c>
      <c r="K99" s="1">
        <f>+G99</f>
        <v>-6.0977699999057222E-2</v>
      </c>
      <c r="O99" s="1">
        <f ca="1">+C$11+C$12*$F99</f>
        <v>-6.0680659084240973E-2</v>
      </c>
      <c r="Q99" s="28">
        <f>+C99-15018.5</f>
        <v>43756.1754</v>
      </c>
    </row>
    <row r="100" spans="1:17" ht="12" customHeight="1" x14ac:dyDescent="0.2">
      <c r="A100" s="71" t="s">
        <v>401</v>
      </c>
      <c r="B100" s="72" t="s">
        <v>48</v>
      </c>
      <c r="C100" s="73">
        <v>59068.368999999999</v>
      </c>
      <c r="D100" s="71">
        <v>1.8E-3</v>
      </c>
      <c r="E100" s="27">
        <f>+(C100-C$7)/C$8</f>
        <v>23182.8879997781</v>
      </c>
      <c r="F100" s="1">
        <f>ROUND(2*E100,0)/2</f>
        <v>23183</v>
      </c>
      <c r="G100" s="1">
        <f>+C100-(C$7+F100*C$8)</f>
        <v>-6.5008300000044983E-2</v>
      </c>
      <c r="K100" s="1">
        <f>+G100</f>
        <v>-6.5008300000044983E-2</v>
      </c>
      <c r="O100" s="1">
        <f ca="1">+C$11+C$12*$F100</f>
        <v>-6.3358162677469632E-2</v>
      </c>
      <c r="Q100" s="28">
        <f>+C100-15018.5</f>
        <v>44049.868999999999</v>
      </c>
    </row>
    <row r="101" spans="1:17" ht="12" customHeight="1" x14ac:dyDescent="0.2">
      <c r="A101" s="70" t="s">
        <v>400</v>
      </c>
      <c r="B101" s="43" t="s">
        <v>48</v>
      </c>
      <c r="C101" s="44">
        <v>59124.672100000003</v>
      </c>
      <c r="D101" s="44">
        <v>1E-4</v>
      </c>
      <c r="E101" s="27">
        <f>+(C101-C$7)/C$8</f>
        <v>23279.890377842239</v>
      </c>
      <c r="F101" s="1">
        <f>ROUND(2*E101,0)/2</f>
        <v>23280</v>
      </c>
      <c r="G101" s="1">
        <f>+C101-(C$7+F101*C$8)</f>
        <v>-6.3627999996242579E-2</v>
      </c>
      <c r="K101" s="1">
        <f>+G101</f>
        <v>-6.3627999996242579E-2</v>
      </c>
      <c r="O101" s="1">
        <f ca="1">+C$11+C$12*$F101</f>
        <v>-6.3871439057989754E-2</v>
      </c>
      <c r="Q101" s="28">
        <f>+C101-15018.5</f>
        <v>44106.172100000003</v>
      </c>
    </row>
    <row r="102" spans="1:17" ht="12" customHeight="1" x14ac:dyDescent="0.2"/>
  </sheetData>
  <sheetProtection selectLockedCells="1" selectUnlockedCells="1"/>
  <sortState xmlns:xlrd2="http://schemas.microsoft.com/office/spreadsheetml/2017/richdata2" ref="A21:U101">
    <sortCondition ref="C21:C10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opLeftCell="A34" workbookViewId="0">
      <selection activeCell="A57" sqref="A57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8" t="s">
        <v>91</v>
      </c>
      <c r="I1" s="59" t="s">
        <v>92</v>
      </c>
      <c r="J1" s="60" t="s">
        <v>36</v>
      </c>
    </row>
    <row r="2" spans="1:16" x14ac:dyDescent="0.2">
      <c r="I2" s="61" t="s">
        <v>93</v>
      </c>
      <c r="J2" s="62" t="s">
        <v>35</v>
      </c>
    </row>
    <row r="3" spans="1:16" x14ac:dyDescent="0.2">
      <c r="A3" s="63" t="s">
        <v>94</v>
      </c>
      <c r="I3" s="61" t="s">
        <v>95</v>
      </c>
      <c r="J3" s="62" t="s">
        <v>33</v>
      </c>
    </row>
    <row r="4" spans="1:16" x14ac:dyDescent="0.2">
      <c r="I4" s="61" t="s">
        <v>96</v>
      </c>
      <c r="J4" s="62" t="s">
        <v>33</v>
      </c>
    </row>
    <row r="5" spans="1:16" x14ac:dyDescent="0.2">
      <c r="I5" s="64" t="s">
        <v>97</v>
      </c>
      <c r="J5" s="65" t="s">
        <v>34</v>
      </c>
    </row>
    <row r="11" spans="1:16" ht="12.75" customHeight="1" x14ac:dyDescent="0.2">
      <c r="A11" s="26" t="str">
        <f t="shared" ref="A11:A42" si="0">P11</f>
        <v> BBS 30 </v>
      </c>
      <c r="B11" s="14" t="str">
        <f t="shared" ref="B11:B42" si="1">IF(H11=INT(H11),"I","II")</f>
        <v>I</v>
      </c>
      <c r="C11" s="26">
        <f t="shared" ref="C11:C42" si="2">1*G11</f>
        <v>43042.341999999997</v>
      </c>
      <c r="D11" t="str">
        <f t="shared" ref="D11:D42" si="3">VLOOKUP(F11,I$1:J$5,2,FALSE)</f>
        <v>vis</v>
      </c>
      <c r="E11">
        <f>VLOOKUP(C11,Active!C$21:E$970,3,FALSE)</f>
        <v>-4427.7183419674475</v>
      </c>
      <c r="F11" s="14" t="s">
        <v>97</v>
      </c>
      <c r="G11" t="str">
        <f t="shared" ref="G11:G42" si="4">MID(I11,3,LEN(I11)-3)</f>
        <v>43042.342</v>
      </c>
      <c r="H11" s="26">
        <f t="shared" ref="H11:H42" si="5">1*K11</f>
        <v>-4428</v>
      </c>
      <c r="I11" s="66" t="s">
        <v>98</v>
      </c>
      <c r="J11" s="67" t="s">
        <v>99</v>
      </c>
      <c r="K11" s="66">
        <v>-4428</v>
      </c>
      <c r="L11" s="66" t="s">
        <v>100</v>
      </c>
      <c r="M11" s="67" t="s">
        <v>101</v>
      </c>
      <c r="N11" s="67"/>
      <c r="O11" s="68" t="s">
        <v>102</v>
      </c>
      <c r="P11" s="68" t="s">
        <v>103</v>
      </c>
    </row>
    <row r="12" spans="1:16" ht="12.75" customHeight="1" x14ac:dyDescent="0.2">
      <c r="A12" s="26" t="str">
        <f t="shared" si="0"/>
        <v> BBS 45 </v>
      </c>
      <c r="B12" s="14" t="str">
        <f t="shared" si="1"/>
        <v>I</v>
      </c>
      <c r="C12" s="26">
        <f t="shared" si="2"/>
        <v>44194.337</v>
      </c>
      <c r="D12" t="str">
        <f t="shared" si="3"/>
        <v>vis</v>
      </c>
      <c r="E12">
        <f>VLOOKUP(C12,Active!C$21:E$970,3,FALSE)</f>
        <v>-2442.9918434622832</v>
      </c>
      <c r="F12" s="14" t="s">
        <v>97</v>
      </c>
      <c r="G12" t="str">
        <f t="shared" si="4"/>
        <v>44194.337</v>
      </c>
      <c r="H12" s="26">
        <f t="shared" si="5"/>
        <v>-2443</v>
      </c>
      <c r="I12" s="66" t="s">
        <v>104</v>
      </c>
      <c r="J12" s="67" t="s">
        <v>105</v>
      </c>
      <c r="K12" s="66">
        <v>-2443</v>
      </c>
      <c r="L12" s="66" t="s">
        <v>106</v>
      </c>
      <c r="M12" s="67" t="s">
        <v>101</v>
      </c>
      <c r="N12" s="67"/>
      <c r="O12" s="68" t="s">
        <v>102</v>
      </c>
      <c r="P12" s="68" t="s">
        <v>107</v>
      </c>
    </row>
    <row r="13" spans="1:16" ht="12.75" customHeight="1" x14ac:dyDescent="0.2">
      <c r="A13" s="26" t="str">
        <f t="shared" si="0"/>
        <v> BBS 45 </v>
      </c>
      <c r="B13" s="14" t="str">
        <f t="shared" si="1"/>
        <v>I</v>
      </c>
      <c r="C13" s="26">
        <f t="shared" si="2"/>
        <v>44201.296000000002</v>
      </c>
      <c r="D13" t="str">
        <f t="shared" si="3"/>
        <v>vis</v>
      </c>
      <c r="E13">
        <f>VLOOKUP(C13,Active!C$21:E$970,3,FALSE)</f>
        <v>-2431.0024583494114</v>
      </c>
      <c r="F13" s="14" t="s">
        <v>97</v>
      </c>
      <c r="G13" t="str">
        <f t="shared" si="4"/>
        <v>44201.296</v>
      </c>
      <c r="H13" s="26">
        <f t="shared" si="5"/>
        <v>-2431</v>
      </c>
      <c r="I13" s="66" t="s">
        <v>108</v>
      </c>
      <c r="J13" s="67" t="s">
        <v>109</v>
      </c>
      <c r="K13" s="66">
        <v>-2431</v>
      </c>
      <c r="L13" s="66" t="s">
        <v>110</v>
      </c>
      <c r="M13" s="67" t="s">
        <v>101</v>
      </c>
      <c r="N13" s="67"/>
      <c r="O13" s="68" t="s">
        <v>102</v>
      </c>
      <c r="P13" s="68" t="s">
        <v>107</v>
      </c>
    </row>
    <row r="14" spans="1:16" ht="12.75" customHeight="1" x14ac:dyDescent="0.2">
      <c r="A14" s="26" t="str">
        <f t="shared" si="0"/>
        <v> BBS 49 </v>
      </c>
      <c r="B14" s="14" t="str">
        <f t="shared" si="1"/>
        <v>I</v>
      </c>
      <c r="C14" s="26">
        <f t="shared" si="2"/>
        <v>44458.425999999999</v>
      </c>
      <c r="D14" t="str">
        <f t="shared" si="3"/>
        <v>vis</v>
      </c>
      <c r="E14">
        <f>VLOOKUP(C14,Active!C$21:E$970,3,FALSE)</f>
        <v>-1988.0033788736962</v>
      </c>
      <c r="F14" s="14" t="s">
        <v>97</v>
      </c>
      <c r="G14" t="str">
        <f t="shared" si="4"/>
        <v>44458.426</v>
      </c>
      <c r="H14" s="26">
        <f t="shared" si="5"/>
        <v>-1988</v>
      </c>
      <c r="I14" s="66" t="s">
        <v>111</v>
      </c>
      <c r="J14" s="67" t="s">
        <v>112</v>
      </c>
      <c r="K14" s="66">
        <v>-1988</v>
      </c>
      <c r="L14" s="66" t="s">
        <v>113</v>
      </c>
      <c r="M14" s="67" t="s">
        <v>101</v>
      </c>
      <c r="N14" s="67"/>
      <c r="O14" s="68" t="s">
        <v>114</v>
      </c>
      <c r="P14" s="68" t="s">
        <v>115</v>
      </c>
    </row>
    <row r="15" spans="1:16" ht="12.75" customHeight="1" x14ac:dyDescent="0.2">
      <c r="A15" s="26" t="str">
        <f t="shared" si="0"/>
        <v> BBS 49 </v>
      </c>
      <c r="B15" s="14" t="str">
        <f t="shared" si="1"/>
        <v>I</v>
      </c>
      <c r="C15" s="26">
        <f t="shared" si="2"/>
        <v>44458.438999999998</v>
      </c>
      <c r="D15" t="str">
        <f t="shared" si="3"/>
        <v>vis</v>
      </c>
      <c r="E15">
        <f>VLOOKUP(C15,Active!C$21:E$970,3,FALSE)</f>
        <v>-1987.980981689265</v>
      </c>
      <c r="F15" s="14" t="s">
        <v>97</v>
      </c>
      <c r="G15" t="str">
        <f t="shared" si="4"/>
        <v>44458.439</v>
      </c>
      <c r="H15" s="26">
        <f t="shared" si="5"/>
        <v>-1988</v>
      </c>
      <c r="I15" s="66" t="s">
        <v>116</v>
      </c>
      <c r="J15" s="67" t="s">
        <v>117</v>
      </c>
      <c r="K15" s="66">
        <v>-1988</v>
      </c>
      <c r="L15" s="66" t="s">
        <v>118</v>
      </c>
      <c r="M15" s="67" t="s">
        <v>101</v>
      </c>
      <c r="N15" s="67"/>
      <c r="O15" s="68" t="s">
        <v>102</v>
      </c>
      <c r="P15" s="68" t="s">
        <v>115</v>
      </c>
    </row>
    <row r="16" spans="1:16" ht="12.75" customHeight="1" x14ac:dyDescent="0.2">
      <c r="A16" s="26" t="str">
        <f t="shared" si="0"/>
        <v> BBS 50 </v>
      </c>
      <c r="B16" s="14" t="str">
        <f t="shared" si="1"/>
        <v>I</v>
      </c>
      <c r="C16" s="26">
        <f t="shared" si="2"/>
        <v>44490.353999999999</v>
      </c>
      <c r="D16" t="str">
        <f t="shared" si="3"/>
        <v>vis</v>
      </c>
      <c r="E16">
        <f>VLOOKUP(C16,Active!C$21:E$970,3,FALSE)</f>
        <v>-1932.995893906945</v>
      </c>
      <c r="F16" s="14" t="s">
        <v>97</v>
      </c>
      <c r="G16" t="str">
        <f t="shared" si="4"/>
        <v>44490.354</v>
      </c>
      <c r="H16" s="26">
        <f t="shared" si="5"/>
        <v>-1933</v>
      </c>
      <c r="I16" s="66" t="s">
        <v>119</v>
      </c>
      <c r="J16" s="67" t="s">
        <v>120</v>
      </c>
      <c r="K16" s="66">
        <v>-1933</v>
      </c>
      <c r="L16" s="66" t="s">
        <v>121</v>
      </c>
      <c r="M16" s="67" t="s">
        <v>101</v>
      </c>
      <c r="N16" s="67"/>
      <c r="O16" s="68" t="s">
        <v>114</v>
      </c>
      <c r="P16" s="68" t="s">
        <v>122</v>
      </c>
    </row>
    <row r="17" spans="1:16" ht="12.75" customHeight="1" x14ac:dyDescent="0.2">
      <c r="A17" s="26" t="str">
        <f t="shared" si="0"/>
        <v> BBS 50 </v>
      </c>
      <c r="B17" s="14" t="str">
        <f t="shared" si="1"/>
        <v>I</v>
      </c>
      <c r="C17" s="26">
        <f t="shared" si="2"/>
        <v>44490.355000000003</v>
      </c>
      <c r="D17" t="str">
        <f t="shared" si="3"/>
        <v>vis</v>
      </c>
      <c r="E17">
        <f>VLOOKUP(C17,Active!C$21:E$970,3,FALSE)</f>
        <v>-1932.9941710465973</v>
      </c>
      <c r="F17" s="14" t="s">
        <v>97</v>
      </c>
      <c r="G17" t="str">
        <f t="shared" si="4"/>
        <v>44490.355</v>
      </c>
      <c r="H17" s="26">
        <f t="shared" si="5"/>
        <v>-1933</v>
      </c>
      <c r="I17" s="66" t="s">
        <v>123</v>
      </c>
      <c r="J17" s="67" t="s">
        <v>124</v>
      </c>
      <c r="K17" s="66">
        <v>-1933</v>
      </c>
      <c r="L17" s="66" t="s">
        <v>125</v>
      </c>
      <c r="M17" s="67" t="s">
        <v>101</v>
      </c>
      <c r="N17" s="67"/>
      <c r="O17" s="68" t="s">
        <v>102</v>
      </c>
      <c r="P17" s="68" t="s">
        <v>122</v>
      </c>
    </row>
    <row r="18" spans="1:16" ht="12.75" customHeight="1" x14ac:dyDescent="0.2">
      <c r="A18" s="26" t="str">
        <f t="shared" si="0"/>
        <v> BBS 69 </v>
      </c>
      <c r="B18" s="14" t="str">
        <f t="shared" si="1"/>
        <v>I</v>
      </c>
      <c r="C18" s="26">
        <f t="shared" si="2"/>
        <v>45612.322999999997</v>
      </c>
      <c r="D18" t="str">
        <f t="shared" si="3"/>
        <v>vis</v>
      </c>
      <c r="E18" t="e">
        <f>VLOOKUP(C18,Active!C$21:E$970,3,FALSE)</f>
        <v>#N/A</v>
      </c>
      <c r="F18" s="14" t="s">
        <v>97</v>
      </c>
      <c r="G18" t="str">
        <f t="shared" si="4"/>
        <v>45612.323</v>
      </c>
      <c r="H18" s="26">
        <f t="shared" si="5"/>
        <v>0</v>
      </c>
      <c r="I18" s="66" t="s">
        <v>126</v>
      </c>
      <c r="J18" s="67" t="s">
        <v>127</v>
      </c>
      <c r="K18" s="66">
        <v>0</v>
      </c>
      <c r="L18" s="66" t="s">
        <v>128</v>
      </c>
      <c r="M18" s="67" t="s">
        <v>101</v>
      </c>
      <c r="N18" s="67"/>
      <c r="O18" s="68" t="s">
        <v>129</v>
      </c>
      <c r="P18" s="68" t="s">
        <v>130</v>
      </c>
    </row>
    <row r="19" spans="1:16" ht="12.75" customHeight="1" x14ac:dyDescent="0.2">
      <c r="A19" s="26" t="str">
        <f t="shared" si="0"/>
        <v> BBS 78 </v>
      </c>
      <c r="B19" s="14" t="str">
        <f t="shared" si="1"/>
        <v>I</v>
      </c>
      <c r="C19" s="26">
        <f t="shared" si="2"/>
        <v>46298.387999999999</v>
      </c>
      <c r="D19" t="str">
        <f t="shared" si="3"/>
        <v>vis</v>
      </c>
      <c r="E19">
        <f>VLOOKUP(C19,Active!C$21:E$970,3,FALSE)</f>
        <v>1181.9941798332002</v>
      </c>
      <c r="F19" s="14" t="s">
        <v>97</v>
      </c>
      <c r="G19" t="str">
        <f t="shared" si="4"/>
        <v>46298.388</v>
      </c>
      <c r="H19" s="26">
        <f t="shared" si="5"/>
        <v>1182</v>
      </c>
      <c r="I19" s="66" t="s">
        <v>131</v>
      </c>
      <c r="J19" s="67" t="s">
        <v>132</v>
      </c>
      <c r="K19" s="66">
        <v>1182</v>
      </c>
      <c r="L19" s="66" t="s">
        <v>133</v>
      </c>
      <c r="M19" s="67" t="s">
        <v>101</v>
      </c>
      <c r="N19" s="67"/>
      <c r="O19" s="68" t="s">
        <v>129</v>
      </c>
      <c r="P19" s="68" t="s">
        <v>134</v>
      </c>
    </row>
    <row r="20" spans="1:16" ht="12.75" customHeight="1" x14ac:dyDescent="0.2">
      <c r="A20" s="26" t="str">
        <f t="shared" si="0"/>
        <v> BBS 96 </v>
      </c>
      <c r="B20" s="14" t="str">
        <f t="shared" si="1"/>
        <v>I</v>
      </c>
      <c r="C20" s="26">
        <f t="shared" si="2"/>
        <v>48189.423000000003</v>
      </c>
      <c r="D20" t="str">
        <f t="shared" si="3"/>
        <v>vis</v>
      </c>
      <c r="E20">
        <f>VLOOKUP(C20,Active!C$21:E$970,3,FALSE)</f>
        <v>4439.9833847348818</v>
      </c>
      <c r="F20" s="14" t="s">
        <v>97</v>
      </c>
      <c r="G20" t="str">
        <f t="shared" si="4"/>
        <v>48189.423</v>
      </c>
      <c r="H20" s="26">
        <f t="shared" si="5"/>
        <v>4440</v>
      </c>
      <c r="I20" s="66" t="s">
        <v>135</v>
      </c>
      <c r="J20" s="67" t="s">
        <v>136</v>
      </c>
      <c r="K20" s="66">
        <v>4440</v>
      </c>
      <c r="L20" s="66" t="s">
        <v>137</v>
      </c>
      <c r="M20" s="67" t="s">
        <v>101</v>
      </c>
      <c r="N20" s="67"/>
      <c r="O20" s="68" t="s">
        <v>102</v>
      </c>
      <c r="P20" s="68" t="s">
        <v>138</v>
      </c>
    </row>
    <row r="21" spans="1:16" ht="12.75" customHeight="1" x14ac:dyDescent="0.2">
      <c r="A21" s="26" t="str">
        <f t="shared" si="0"/>
        <v> BBS 97 </v>
      </c>
      <c r="B21" s="14" t="str">
        <f t="shared" si="1"/>
        <v>I</v>
      </c>
      <c r="C21" s="26">
        <f t="shared" si="2"/>
        <v>48203.358</v>
      </c>
      <c r="D21" t="str">
        <f t="shared" si="3"/>
        <v>vis</v>
      </c>
      <c r="E21">
        <f>VLOOKUP(C21,Active!C$21:E$970,3,FALSE)</f>
        <v>4463.9914435864093</v>
      </c>
      <c r="F21" s="14" t="s">
        <v>97</v>
      </c>
      <c r="G21" t="str">
        <f t="shared" si="4"/>
        <v>48203.358</v>
      </c>
      <c r="H21" s="26">
        <f t="shared" si="5"/>
        <v>4464</v>
      </c>
      <c r="I21" s="66" t="s">
        <v>139</v>
      </c>
      <c r="J21" s="67" t="s">
        <v>140</v>
      </c>
      <c r="K21" s="66">
        <v>4464</v>
      </c>
      <c r="L21" s="66" t="s">
        <v>141</v>
      </c>
      <c r="M21" s="67" t="s">
        <v>101</v>
      </c>
      <c r="N21" s="67"/>
      <c r="O21" s="68" t="s">
        <v>102</v>
      </c>
      <c r="P21" s="68" t="s">
        <v>142</v>
      </c>
    </row>
    <row r="22" spans="1:16" ht="12.75" customHeight="1" x14ac:dyDescent="0.2">
      <c r="A22" s="26" t="str">
        <f t="shared" si="0"/>
        <v> BBS 99 </v>
      </c>
      <c r="B22" s="14" t="str">
        <f t="shared" si="1"/>
        <v>I</v>
      </c>
      <c r="C22" s="26">
        <f t="shared" si="2"/>
        <v>48517.375</v>
      </c>
      <c r="D22" t="str">
        <f t="shared" si="3"/>
        <v>vis</v>
      </c>
      <c r="E22">
        <f>VLOOKUP(C22,Active!C$21:E$970,3,FALSE)</f>
        <v>5004.9988792793547</v>
      </c>
      <c r="F22" s="14" t="s">
        <v>97</v>
      </c>
      <c r="G22" t="str">
        <f t="shared" si="4"/>
        <v>48517.375</v>
      </c>
      <c r="H22" s="26">
        <f t="shared" si="5"/>
        <v>5005</v>
      </c>
      <c r="I22" s="66" t="s">
        <v>143</v>
      </c>
      <c r="J22" s="67" t="s">
        <v>144</v>
      </c>
      <c r="K22" s="66">
        <v>5005</v>
      </c>
      <c r="L22" s="66" t="s">
        <v>110</v>
      </c>
      <c r="M22" s="67" t="s">
        <v>101</v>
      </c>
      <c r="N22" s="67"/>
      <c r="O22" s="68" t="s">
        <v>102</v>
      </c>
      <c r="P22" s="68" t="s">
        <v>145</v>
      </c>
    </row>
    <row r="23" spans="1:16" ht="12.75" customHeight="1" x14ac:dyDescent="0.2">
      <c r="A23" s="26" t="str">
        <f t="shared" si="0"/>
        <v> BBS 102 </v>
      </c>
      <c r="B23" s="14" t="str">
        <f t="shared" si="1"/>
        <v>I</v>
      </c>
      <c r="C23" s="26">
        <f t="shared" si="2"/>
        <v>48892.332000000002</v>
      </c>
      <c r="D23" t="str">
        <f t="shared" si="3"/>
        <v>vis</v>
      </c>
      <c r="E23">
        <f>VLOOKUP(C23,Active!C$21:E$970,3,FALSE)</f>
        <v>5650.9974241515138</v>
      </c>
      <c r="F23" s="14" t="s">
        <v>97</v>
      </c>
      <c r="G23" t="str">
        <f t="shared" si="4"/>
        <v>48892.332</v>
      </c>
      <c r="H23" s="26">
        <f t="shared" si="5"/>
        <v>5651</v>
      </c>
      <c r="I23" s="66" t="s">
        <v>146</v>
      </c>
      <c r="J23" s="67" t="s">
        <v>147</v>
      </c>
      <c r="K23" s="66">
        <v>5651</v>
      </c>
      <c r="L23" s="66" t="s">
        <v>110</v>
      </c>
      <c r="M23" s="67" t="s">
        <v>101</v>
      </c>
      <c r="N23" s="67"/>
      <c r="O23" s="68" t="s">
        <v>102</v>
      </c>
      <c r="P23" s="68" t="s">
        <v>148</v>
      </c>
    </row>
    <row r="24" spans="1:16" ht="12.75" customHeight="1" x14ac:dyDescent="0.2">
      <c r="A24" s="26" t="str">
        <f t="shared" si="0"/>
        <v> BBS 102 </v>
      </c>
      <c r="B24" s="14" t="str">
        <f t="shared" si="1"/>
        <v>I</v>
      </c>
      <c r="C24" s="26">
        <f t="shared" si="2"/>
        <v>48946.321000000004</v>
      </c>
      <c r="D24" t="str">
        <f t="shared" si="3"/>
        <v>vis</v>
      </c>
      <c r="E24">
        <f>VLOOKUP(C24,Active!C$21:E$970,3,FALSE)</f>
        <v>5744.0129311005876</v>
      </c>
      <c r="F24" s="14" t="s">
        <v>97</v>
      </c>
      <c r="G24" t="str">
        <f t="shared" si="4"/>
        <v>48946.321</v>
      </c>
      <c r="H24" s="26">
        <f t="shared" si="5"/>
        <v>5744</v>
      </c>
      <c r="I24" s="66" t="s">
        <v>149</v>
      </c>
      <c r="J24" s="67" t="s">
        <v>150</v>
      </c>
      <c r="K24" s="66">
        <v>5744</v>
      </c>
      <c r="L24" s="66" t="s">
        <v>151</v>
      </c>
      <c r="M24" s="67" t="s">
        <v>101</v>
      </c>
      <c r="N24" s="67"/>
      <c r="O24" s="68" t="s">
        <v>102</v>
      </c>
      <c r="P24" s="68" t="s">
        <v>148</v>
      </c>
    </row>
    <row r="25" spans="1:16" ht="12.75" customHeight="1" x14ac:dyDescent="0.2">
      <c r="A25" s="26" t="str">
        <f t="shared" si="0"/>
        <v> BBS 103 </v>
      </c>
      <c r="B25" s="14" t="str">
        <f t="shared" si="1"/>
        <v>I</v>
      </c>
      <c r="C25" s="26">
        <f t="shared" si="2"/>
        <v>48971.264000000003</v>
      </c>
      <c r="D25" t="str">
        <f t="shared" si="3"/>
        <v>vis</v>
      </c>
      <c r="E25">
        <f>VLOOKUP(C25,Active!C$21:E$970,3,FALSE)</f>
        <v>5786.9862365856052</v>
      </c>
      <c r="F25" s="14" t="s">
        <v>97</v>
      </c>
      <c r="G25" t="str">
        <f t="shared" si="4"/>
        <v>48971.264</v>
      </c>
      <c r="H25" s="26">
        <f t="shared" si="5"/>
        <v>5787</v>
      </c>
      <c r="I25" s="66" t="s">
        <v>152</v>
      </c>
      <c r="J25" s="67" t="s">
        <v>153</v>
      </c>
      <c r="K25" s="66">
        <v>5787</v>
      </c>
      <c r="L25" s="66" t="s">
        <v>154</v>
      </c>
      <c r="M25" s="67" t="s">
        <v>101</v>
      </c>
      <c r="N25" s="67"/>
      <c r="O25" s="68" t="s">
        <v>102</v>
      </c>
      <c r="P25" s="68" t="s">
        <v>155</v>
      </c>
    </row>
    <row r="26" spans="1:16" ht="12.75" customHeight="1" x14ac:dyDescent="0.2">
      <c r="A26" s="26" t="str">
        <f t="shared" si="0"/>
        <v>BAVM 90 </v>
      </c>
      <c r="B26" s="14" t="str">
        <f t="shared" si="1"/>
        <v>I</v>
      </c>
      <c r="C26" s="26">
        <f t="shared" si="2"/>
        <v>50014.29</v>
      </c>
      <c r="D26" t="str">
        <f t="shared" si="3"/>
        <v>vis</v>
      </c>
      <c r="E26">
        <f>VLOOKUP(C26,Active!C$21:E$970,3,FALSE)</f>
        <v>7583.9743665947108</v>
      </c>
      <c r="F26" s="14" t="s">
        <v>97</v>
      </c>
      <c r="G26" t="str">
        <f t="shared" si="4"/>
        <v>50014.2900</v>
      </c>
      <c r="H26" s="26">
        <f t="shared" si="5"/>
        <v>7584</v>
      </c>
      <c r="I26" s="66" t="s">
        <v>156</v>
      </c>
      <c r="J26" s="67" t="s">
        <v>157</v>
      </c>
      <c r="K26" s="66">
        <v>7584</v>
      </c>
      <c r="L26" s="66" t="s">
        <v>158</v>
      </c>
      <c r="M26" s="67" t="s">
        <v>159</v>
      </c>
      <c r="N26" s="67" t="s">
        <v>160</v>
      </c>
      <c r="O26" s="68" t="s">
        <v>161</v>
      </c>
      <c r="P26" s="69" t="s">
        <v>162</v>
      </c>
    </row>
    <row r="27" spans="1:16" ht="12.75" customHeight="1" x14ac:dyDescent="0.2">
      <c r="A27" s="26" t="str">
        <f t="shared" si="0"/>
        <v> BBS 110 </v>
      </c>
      <c r="B27" s="14" t="str">
        <f t="shared" si="1"/>
        <v>I</v>
      </c>
      <c r="C27" s="26">
        <f t="shared" si="2"/>
        <v>50014.305</v>
      </c>
      <c r="D27" t="str">
        <f t="shared" si="3"/>
        <v>vis</v>
      </c>
      <c r="E27">
        <f>VLOOKUP(C27,Active!C$21:E$970,3,FALSE)</f>
        <v>7584.0002094998245</v>
      </c>
      <c r="F27" s="14" t="s">
        <v>97</v>
      </c>
      <c r="G27" t="str">
        <f t="shared" si="4"/>
        <v>50014.305</v>
      </c>
      <c r="H27" s="26">
        <f t="shared" si="5"/>
        <v>7584</v>
      </c>
      <c r="I27" s="66" t="s">
        <v>163</v>
      </c>
      <c r="J27" s="67" t="s">
        <v>164</v>
      </c>
      <c r="K27" s="66">
        <v>7584</v>
      </c>
      <c r="L27" s="66" t="s">
        <v>128</v>
      </c>
      <c r="M27" s="67" t="s">
        <v>101</v>
      </c>
      <c r="N27" s="67"/>
      <c r="O27" s="68" t="s">
        <v>102</v>
      </c>
      <c r="P27" s="68" t="s">
        <v>165</v>
      </c>
    </row>
    <row r="28" spans="1:16" ht="12.75" customHeight="1" x14ac:dyDescent="0.2">
      <c r="A28" s="26" t="str">
        <f t="shared" si="0"/>
        <v> BBS 113 </v>
      </c>
      <c r="B28" s="14" t="str">
        <f t="shared" si="1"/>
        <v>I</v>
      </c>
      <c r="C28" s="26">
        <f t="shared" si="2"/>
        <v>50314.375999999997</v>
      </c>
      <c r="D28" t="str">
        <f t="shared" si="3"/>
        <v>vis</v>
      </c>
      <c r="E28">
        <f>VLOOKUP(C28,Active!C$21:E$970,3,FALSE)</f>
        <v>8100.9806348774819</v>
      </c>
      <c r="F28" s="14" t="s">
        <v>97</v>
      </c>
      <c r="G28" t="str">
        <f t="shared" si="4"/>
        <v>50314.376</v>
      </c>
      <c r="H28" s="26">
        <f t="shared" si="5"/>
        <v>8101</v>
      </c>
      <c r="I28" s="66" t="s">
        <v>166</v>
      </c>
      <c r="J28" s="67" t="s">
        <v>167</v>
      </c>
      <c r="K28" s="66">
        <v>8101</v>
      </c>
      <c r="L28" s="66" t="s">
        <v>168</v>
      </c>
      <c r="M28" s="67" t="s">
        <v>101</v>
      </c>
      <c r="N28" s="67"/>
      <c r="O28" s="68" t="s">
        <v>102</v>
      </c>
      <c r="P28" s="68" t="s">
        <v>169</v>
      </c>
    </row>
    <row r="29" spans="1:16" ht="12.75" customHeight="1" x14ac:dyDescent="0.2">
      <c r="A29" s="26" t="str">
        <f t="shared" si="0"/>
        <v> BBS 113 </v>
      </c>
      <c r="B29" s="14" t="str">
        <f t="shared" si="1"/>
        <v>I</v>
      </c>
      <c r="C29" s="26">
        <f t="shared" si="2"/>
        <v>50332.366999999998</v>
      </c>
      <c r="D29" t="str">
        <f t="shared" si="3"/>
        <v>vis</v>
      </c>
      <c r="E29">
        <f>VLOOKUP(C29,Active!C$21:E$970,3,FALSE)</f>
        <v>8131.9766152720231</v>
      </c>
      <c r="F29" s="14" t="s">
        <v>97</v>
      </c>
      <c r="G29" t="str">
        <f t="shared" si="4"/>
        <v>50332.367</v>
      </c>
      <c r="H29" s="26">
        <f t="shared" si="5"/>
        <v>8132</v>
      </c>
      <c r="I29" s="66" t="s">
        <v>170</v>
      </c>
      <c r="J29" s="67" t="s">
        <v>171</v>
      </c>
      <c r="K29" s="66">
        <v>8132</v>
      </c>
      <c r="L29" s="66" t="s">
        <v>172</v>
      </c>
      <c r="M29" s="67" t="s">
        <v>101</v>
      </c>
      <c r="N29" s="67"/>
      <c r="O29" s="68" t="s">
        <v>102</v>
      </c>
      <c r="P29" s="68" t="s">
        <v>169</v>
      </c>
    </row>
    <row r="30" spans="1:16" ht="12.75" customHeight="1" x14ac:dyDescent="0.2">
      <c r="A30" s="26" t="str">
        <f t="shared" si="0"/>
        <v> BBS 113 </v>
      </c>
      <c r="B30" s="14" t="str">
        <f t="shared" si="1"/>
        <v>I</v>
      </c>
      <c r="C30" s="26">
        <f t="shared" si="2"/>
        <v>50343.402999999998</v>
      </c>
      <c r="D30" t="str">
        <f t="shared" si="3"/>
        <v>vis</v>
      </c>
      <c r="E30">
        <f>VLOOKUP(C30,Active!C$21:E$970,3,FALSE)</f>
        <v>8150.9901019950585</v>
      </c>
      <c r="F30" s="14" t="s">
        <v>97</v>
      </c>
      <c r="G30" t="str">
        <f t="shared" si="4"/>
        <v>50343.403</v>
      </c>
      <c r="H30" s="26">
        <f t="shared" si="5"/>
        <v>8151</v>
      </c>
      <c r="I30" s="66" t="s">
        <v>173</v>
      </c>
      <c r="J30" s="67" t="s">
        <v>174</v>
      </c>
      <c r="K30" s="66">
        <v>8151</v>
      </c>
      <c r="L30" s="66" t="s">
        <v>175</v>
      </c>
      <c r="M30" s="67" t="s">
        <v>101</v>
      </c>
      <c r="N30" s="67"/>
      <c r="O30" s="68" t="s">
        <v>102</v>
      </c>
      <c r="P30" s="68" t="s">
        <v>169</v>
      </c>
    </row>
    <row r="31" spans="1:16" ht="12.75" customHeight="1" x14ac:dyDescent="0.2">
      <c r="A31" s="26" t="str">
        <f t="shared" si="0"/>
        <v> BBS 113 </v>
      </c>
      <c r="B31" s="14" t="str">
        <f t="shared" si="1"/>
        <v>I</v>
      </c>
      <c r="C31" s="26">
        <f t="shared" si="2"/>
        <v>50357.322999999997</v>
      </c>
      <c r="D31" t="str">
        <f t="shared" si="3"/>
        <v>vis</v>
      </c>
      <c r="E31">
        <f>VLOOKUP(C31,Active!C$21:E$970,3,FALSE)</f>
        <v>8174.9723179414723</v>
      </c>
      <c r="F31" s="14" t="s">
        <v>97</v>
      </c>
      <c r="G31" t="str">
        <f t="shared" si="4"/>
        <v>50357.323</v>
      </c>
      <c r="H31" s="26">
        <f t="shared" si="5"/>
        <v>8175</v>
      </c>
      <c r="I31" s="66" t="s">
        <v>176</v>
      </c>
      <c r="J31" s="67" t="s">
        <v>177</v>
      </c>
      <c r="K31" s="66">
        <v>8175</v>
      </c>
      <c r="L31" s="66" t="s">
        <v>178</v>
      </c>
      <c r="M31" s="67" t="s">
        <v>101</v>
      </c>
      <c r="N31" s="67"/>
      <c r="O31" s="68" t="s">
        <v>102</v>
      </c>
      <c r="P31" s="68" t="s">
        <v>169</v>
      </c>
    </row>
    <row r="32" spans="1:16" ht="12.75" customHeight="1" x14ac:dyDescent="0.2">
      <c r="A32" s="26" t="str">
        <f t="shared" si="0"/>
        <v> BBS 115 </v>
      </c>
      <c r="B32" s="14" t="str">
        <f t="shared" si="1"/>
        <v>I</v>
      </c>
      <c r="C32" s="26">
        <f t="shared" si="2"/>
        <v>50639.404999999999</v>
      </c>
      <c r="D32" t="str">
        <f t="shared" si="3"/>
        <v>vis</v>
      </c>
      <c r="E32">
        <f>VLOOKUP(C32,Active!C$21:E$970,3,FALSE)</f>
        <v>8660.9602086452833</v>
      </c>
      <c r="F32" s="14" t="s">
        <v>97</v>
      </c>
      <c r="G32" t="str">
        <f t="shared" si="4"/>
        <v>50639.405</v>
      </c>
      <c r="H32" s="26">
        <f t="shared" si="5"/>
        <v>8661</v>
      </c>
      <c r="I32" s="66" t="s">
        <v>179</v>
      </c>
      <c r="J32" s="67" t="s">
        <v>180</v>
      </c>
      <c r="K32" s="66">
        <v>8661</v>
      </c>
      <c r="L32" s="66" t="s">
        <v>181</v>
      </c>
      <c r="M32" s="67" t="s">
        <v>101</v>
      </c>
      <c r="N32" s="67"/>
      <c r="O32" s="68" t="s">
        <v>102</v>
      </c>
      <c r="P32" s="68" t="s">
        <v>182</v>
      </c>
    </row>
    <row r="33" spans="1:16" ht="12.75" customHeight="1" x14ac:dyDescent="0.2">
      <c r="A33" s="26" t="str">
        <f t="shared" si="0"/>
        <v> BBS 115 </v>
      </c>
      <c r="B33" s="14" t="str">
        <f t="shared" si="1"/>
        <v>I</v>
      </c>
      <c r="C33" s="26">
        <f t="shared" si="2"/>
        <v>50675.411</v>
      </c>
      <c r="D33" t="str">
        <f t="shared" si="3"/>
        <v>vis</v>
      </c>
      <c r="E33">
        <f>VLOOKUP(C33,Active!C$21:E$970,3,FALSE)</f>
        <v>8722.9935180825451</v>
      </c>
      <c r="F33" s="14" t="s">
        <v>97</v>
      </c>
      <c r="G33" t="str">
        <f t="shared" si="4"/>
        <v>50675.411</v>
      </c>
      <c r="H33" s="26">
        <f t="shared" si="5"/>
        <v>8723</v>
      </c>
      <c r="I33" s="66" t="s">
        <v>183</v>
      </c>
      <c r="J33" s="67" t="s">
        <v>184</v>
      </c>
      <c r="K33" s="66">
        <v>8723</v>
      </c>
      <c r="L33" s="66" t="s">
        <v>185</v>
      </c>
      <c r="M33" s="67" t="s">
        <v>101</v>
      </c>
      <c r="N33" s="67"/>
      <c r="O33" s="68" t="s">
        <v>102</v>
      </c>
      <c r="P33" s="68" t="s">
        <v>182</v>
      </c>
    </row>
    <row r="34" spans="1:16" ht="12.75" customHeight="1" x14ac:dyDescent="0.2">
      <c r="A34" s="26" t="str">
        <f t="shared" si="0"/>
        <v> BBS 116 </v>
      </c>
      <c r="B34" s="14" t="str">
        <f t="shared" si="1"/>
        <v>I</v>
      </c>
      <c r="C34" s="26">
        <f t="shared" si="2"/>
        <v>50700.351999999999</v>
      </c>
      <c r="D34" t="str">
        <f t="shared" si="3"/>
        <v>vis</v>
      </c>
      <c r="E34">
        <f>VLOOKUP(C34,Active!C$21:E$970,3,FALSE)</f>
        <v>8765.9633778468815</v>
      </c>
      <c r="F34" s="14" t="s">
        <v>97</v>
      </c>
      <c r="G34" t="str">
        <f t="shared" si="4"/>
        <v>50700.352</v>
      </c>
      <c r="H34" s="26">
        <f t="shared" si="5"/>
        <v>8766</v>
      </c>
      <c r="I34" s="66" t="s">
        <v>186</v>
      </c>
      <c r="J34" s="67" t="s">
        <v>187</v>
      </c>
      <c r="K34" s="66">
        <v>8766</v>
      </c>
      <c r="L34" s="66" t="s">
        <v>188</v>
      </c>
      <c r="M34" s="67" t="s">
        <v>101</v>
      </c>
      <c r="N34" s="67"/>
      <c r="O34" s="68" t="s">
        <v>102</v>
      </c>
      <c r="P34" s="68" t="s">
        <v>189</v>
      </c>
    </row>
    <row r="35" spans="1:16" ht="12.75" customHeight="1" x14ac:dyDescent="0.2">
      <c r="A35" s="26" t="str">
        <f t="shared" si="0"/>
        <v> BBS 116 </v>
      </c>
      <c r="B35" s="14" t="str">
        <f t="shared" si="1"/>
        <v>I</v>
      </c>
      <c r="C35" s="26">
        <f t="shared" si="2"/>
        <v>50747.374000000003</v>
      </c>
      <c r="D35" t="str">
        <f t="shared" si="3"/>
        <v>vis</v>
      </c>
      <c r="E35">
        <f>VLOOKUP(C35,Active!C$21:E$970,3,FALSE)</f>
        <v>8846.9757168003653</v>
      </c>
      <c r="F35" s="14" t="s">
        <v>97</v>
      </c>
      <c r="G35" t="str">
        <f t="shared" si="4"/>
        <v>50747.374</v>
      </c>
      <c r="H35" s="26">
        <f t="shared" si="5"/>
        <v>8847</v>
      </c>
      <c r="I35" s="66" t="s">
        <v>190</v>
      </c>
      <c r="J35" s="67" t="s">
        <v>191</v>
      </c>
      <c r="K35" s="66">
        <v>8847</v>
      </c>
      <c r="L35" s="66" t="s">
        <v>172</v>
      </c>
      <c r="M35" s="67" t="s">
        <v>101</v>
      </c>
      <c r="N35" s="67"/>
      <c r="O35" s="68" t="s">
        <v>102</v>
      </c>
      <c r="P35" s="68" t="s">
        <v>189</v>
      </c>
    </row>
    <row r="36" spans="1:16" ht="12.75" customHeight="1" x14ac:dyDescent="0.2">
      <c r="A36" s="26" t="str">
        <f t="shared" si="0"/>
        <v>BAVM 111 </v>
      </c>
      <c r="B36" s="14" t="str">
        <f t="shared" si="1"/>
        <v>I</v>
      </c>
      <c r="C36" s="26">
        <f t="shared" si="2"/>
        <v>50750.273800000003</v>
      </c>
      <c r="D36" t="str">
        <f t="shared" si="3"/>
        <v>vis</v>
      </c>
      <c r="E36">
        <f>VLOOKUP(C36,Active!C$21:E$970,3,FALSE)</f>
        <v>8851.9716672171307</v>
      </c>
      <c r="F36" s="14" t="s">
        <v>97</v>
      </c>
      <c r="G36" t="str">
        <f t="shared" si="4"/>
        <v>50750.2738</v>
      </c>
      <c r="H36" s="26">
        <f t="shared" si="5"/>
        <v>8852</v>
      </c>
      <c r="I36" s="66" t="s">
        <v>192</v>
      </c>
      <c r="J36" s="67" t="s">
        <v>193</v>
      </c>
      <c r="K36" s="66">
        <v>8852</v>
      </c>
      <c r="L36" s="66" t="s">
        <v>194</v>
      </c>
      <c r="M36" s="67" t="s">
        <v>159</v>
      </c>
      <c r="N36" s="67" t="s">
        <v>160</v>
      </c>
      <c r="O36" s="68" t="s">
        <v>161</v>
      </c>
      <c r="P36" s="69" t="s">
        <v>195</v>
      </c>
    </row>
    <row r="37" spans="1:16" ht="12.75" customHeight="1" x14ac:dyDescent="0.2">
      <c r="A37" s="26" t="str">
        <f t="shared" si="0"/>
        <v>BAVM 133 </v>
      </c>
      <c r="B37" s="14" t="str">
        <f t="shared" si="1"/>
        <v>I</v>
      </c>
      <c r="C37" s="26">
        <f t="shared" si="2"/>
        <v>51486.257100000003</v>
      </c>
      <c r="D37" t="str">
        <f t="shared" si="3"/>
        <v>vis</v>
      </c>
      <c r="E37">
        <f>VLOOKUP(C37,Active!C$21:E$970,3,FALSE)</f>
        <v>10119.968106409378</v>
      </c>
      <c r="F37" s="14" t="s">
        <v>97</v>
      </c>
      <c r="G37" t="str">
        <f t="shared" si="4"/>
        <v>51486.2571</v>
      </c>
      <c r="H37" s="26">
        <f t="shared" si="5"/>
        <v>10120</v>
      </c>
      <c r="I37" s="66" t="s">
        <v>196</v>
      </c>
      <c r="J37" s="67" t="s">
        <v>197</v>
      </c>
      <c r="K37" s="66">
        <v>10120</v>
      </c>
      <c r="L37" s="66" t="s">
        <v>198</v>
      </c>
      <c r="M37" s="67" t="s">
        <v>159</v>
      </c>
      <c r="N37" s="67" t="s">
        <v>199</v>
      </c>
      <c r="O37" s="68" t="s">
        <v>161</v>
      </c>
      <c r="P37" s="69" t="s">
        <v>200</v>
      </c>
    </row>
    <row r="38" spans="1:16" ht="12.75" customHeight="1" x14ac:dyDescent="0.2">
      <c r="A38" s="26" t="str">
        <f t="shared" si="0"/>
        <v>OEJV 0074 </v>
      </c>
      <c r="B38" s="14" t="str">
        <f t="shared" si="1"/>
        <v>I</v>
      </c>
      <c r="C38" s="26">
        <f t="shared" si="2"/>
        <v>51797.370999999999</v>
      </c>
      <c r="D38" t="str">
        <f t="shared" si="3"/>
        <v>vis</v>
      </c>
      <c r="E38">
        <f>VLOOKUP(C38,Active!C$21:E$970,3,FALSE)</f>
        <v>10655.973906246425</v>
      </c>
      <c r="F38" s="14" t="s">
        <v>97</v>
      </c>
      <c r="G38" t="str">
        <f t="shared" si="4"/>
        <v>51797.371</v>
      </c>
      <c r="H38" s="26">
        <f t="shared" si="5"/>
        <v>10656</v>
      </c>
      <c r="I38" s="66" t="s">
        <v>201</v>
      </c>
      <c r="J38" s="67" t="s">
        <v>202</v>
      </c>
      <c r="K38" s="66" t="s">
        <v>203</v>
      </c>
      <c r="L38" s="66" t="s">
        <v>204</v>
      </c>
      <c r="M38" s="67" t="s">
        <v>101</v>
      </c>
      <c r="N38" s="67"/>
      <c r="O38" s="68" t="s">
        <v>205</v>
      </c>
      <c r="P38" s="69" t="s">
        <v>206</v>
      </c>
    </row>
    <row r="39" spans="1:16" ht="12.75" customHeight="1" x14ac:dyDescent="0.2">
      <c r="A39" s="26" t="str">
        <f t="shared" si="0"/>
        <v>IBVS 5583 </v>
      </c>
      <c r="B39" s="14" t="str">
        <f t="shared" si="1"/>
        <v>I</v>
      </c>
      <c r="C39" s="26">
        <f t="shared" si="2"/>
        <v>52141.559800000003</v>
      </c>
      <c r="D39" t="str">
        <f t="shared" si="3"/>
        <v>vis</v>
      </c>
      <c r="E39">
        <f>VLOOKUP(C39,Active!C$21:E$970,3,FALSE)</f>
        <v>11248.963139575302</v>
      </c>
      <c r="F39" s="14" t="s">
        <v>97</v>
      </c>
      <c r="G39" t="str">
        <f t="shared" si="4"/>
        <v>52141.5598</v>
      </c>
      <c r="H39" s="26">
        <f t="shared" si="5"/>
        <v>11249</v>
      </c>
      <c r="I39" s="66" t="s">
        <v>207</v>
      </c>
      <c r="J39" s="67" t="s">
        <v>208</v>
      </c>
      <c r="K39" s="66" t="s">
        <v>209</v>
      </c>
      <c r="L39" s="66" t="s">
        <v>210</v>
      </c>
      <c r="M39" s="67" t="s">
        <v>159</v>
      </c>
      <c r="N39" s="67" t="s">
        <v>211</v>
      </c>
      <c r="O39" s="68" t="s">
        <v>212</v>
      </c>
      <c r="P39" s="69" t="s">
        <v>213</v>
      </c>
    </row>
    <row r="40" spans="1:16" ht="12.75" customHeight="1" x14ac:dyDescent="0.2">
      <c r="A40" s="26" t="str">
        <f t="shared" si="0"/>
        <v>BAVM 152 </v>
      </c>
      <c r="B40" s="14" t="str">
        <f t="shared" si="1"/>
        <v>I</v>
      </c>
      <c r="C40" s="26">
        <f t="shared" si="2"/>
        <v>52151.426299999999</v>
      </c>
      <c r="D40" t="str">
        <f t="shared" si="3"/>
        <v>vis</v>
      </c>
      <c r="E40">
        <f>VLOOKUP(C40,Active!C$21:E$970,3,FALSE)</f>
        <v>11265.961741129557</v>
      </c>
      <c r="F40" s="14" t="s">
        <v>97</v>
      </c>
      <c r="G40" t="str">
        <f t="shared" si="4"/>
        <v>52151.4263</v>
      </c>
      <c r="H40" s="26">
        <f t="shared" si="5"/>
        <v>11266</v>
      </c>
      <c r="I40" s="66" t="s">
        <v>214</v>
      </c>
      <c r="J40" s="67" t="s">
        <v>215</v>
      </c>
      <c r="K40" s="66" t="s">
        <v>216</v>
      </c>
      <c r="L40" s="66" t="s">
        <v>217</v>
      </c>
      <c r="M40" s="67" t="s">
        <v>159</v>
      </c>
      <c r="N40" s="67" t="s">
        <v>199</v>
      </c>
      <c r="O40" s="68" t="s">
        <v>218</v>
      </c>
      <c r="P40" s="69" t="s">
        <v>219</v>
      </c>
    </row>
    <row r="41" spans="1:16" ht="12.75" customHeight="1" x14ac:dyDescent="0.2">
      <c r="A41" s="26" t="str">
        <f t="shared" si="0"/>
        <v> JAAVSO 41;122 </v>
      </c>
      <c r="B41" s="14" t="str">
        <f t="shared" si="1"/>
        <v>I</v>
      </c>
      <c r="C41" s="26">
        <f t="shared" si="2"/>
        <v>52503.746599999999</v>
      </c>
      <c r="D41" t="str">
        <f t="shared" si="3"/>
        <v>vis</v>
      </c>
      <c r="E41">
        <f>VLOOKUP(C41,Active!C$21:E$970,3,FALSE)</f>
        <v>11872.960413321092</v>
      </c>
      <c r="F41" s="14" t="s">
        <v>97</v>
      </c>
      <c r="G41" t="str">
        <f t="shared" si="4"/>
        <v>52503.7466</v>
      </c>
      <c r="H41" s="26">
        <f t="shared" si="5"/>
        <v>11873</v>
      </c>
      <c r="I41" s="66" t="s">
        <v>220</v>
      </c>
      <c r="J41" s="67" t="s">
        <v>221</v>
      </c>
      <c r="K41" s="66" t="s">
        <v>222</v>
      </c>
      <c r="L41" s="66" t="s">
        <v>223</v>
      </c>
      <c r="M41" s="67" t="s">
        <v>224</v>
      </c>
      <c r="N41" s="67" t="s">
        <v>101</v>
      </c>
      <c r="O41" s="68" t="s">
        <v>225</v>
      </c>
      <c r="P41" s="68" t="s">
        <v>226</v>
      </c>
    </row>
    <row r="42" spans="1:16" ht="12.75" customHeight="1" x14ac:dyDescent="0.2">
      <c r="A42" s="26" t="str">
        <f t="shared" si="0"/>
        <v>IBVS 5493 </v>
      </c>
      <c r="B42" s="14" t="str">
        <f t="shared" si="1"/>
        <v>II</v>
      </c>
      <c r="C42" s="26">
        <f t="shared" si="2"/>
        <v>52834.8796</v>
      </c>
      <c r="D42" t="str">
        <f t="shared" si="3"/>
        <v>vis</v>
      </c>
      <c r="E42">
        <f>VLOOKUP(C42,Active!C$21:E$970,3,FALSE)</f>
        <v>12443.456326610223</v>
      </c>
      <c r="F42" s="14" t="s">
        <v>97</v>
      </c>
      <c r="G42" t="str">
        <f t="shared" si="4"/>
        <v>52834.8796</v>
      </c>
      <c r="H42" s="26">
        <f t="shared" si="5"/>
        <v>12443.5</v>
      </c>
      <c r="I42" s="66" t="s">
        <v>227</v>
      </c>
      <c r="J42" s="67" t="s">
        <v>228</v>
      </c>
      <c r="K42" s="66" t="s">
        <v>229</v>
      </c>
      <c r="L42" s="66" t="s">
        <v>230</v>
      </c>
      <c r="M42" s="67" t="s">
        <v>159</v>
      </c>
      <c r="N42" s="67" t="s">
        <v>231</v>
      </c>
      <c r="O42" s="68" t="s">
        <v>232</v>
      </c>
      <c r="P42" s="69" t="s">
        <v>233</v>
      </c>
    </row>
    <row r="43" spans="1:16" ht="12.75" customHeight="1" x14ac:dyDescent="0.2">
      <c r="A43" s="26" t="str">
        <f t="shared" ref="A43:A74" si="6">P43</f>
        <v>BAVM 173 </v>
      </c>
      <c r="B43" s="14" t="str">
        <f t="shared" ref="B43:B74" si="7">IF(H43=INT(H43),"I","II")</f>
        <v>I</v>
      </c>
      <c r="C43" s="26">
        <f t="shared" ref="C43:C74" si="8">1*G43</f>
        <v>53287.325199999999</v>
      </c>
      <c r="D43" t="str">
        <f t="shared" ref="D43:D74" si="9">VLOOKUP(F43,I$1:J$5,2,FALSE)</f>
        <v>vis</v>
      </c>
      <c r="E43">
        <f>VLOOKUP(C43,Active!C$21:E$970,3,FALSE)</f>
        <v>13222.956907300299</v>
      </c>
      <c r="F43" s="14" t="s">
        <v>97</v>
      </c>
      <c r="G43" t="str">
        <f t="shared" ref="G43:G74" si="10">MID(I43,3,LEN(I43)-3)</f>
        <v>53287.3252</v>
      </c>
      <c r="H43" s="26">
        <f t="shared" ref="H43:H74" si="11">1*K43</f>
        <v>13223</v>
      </c>
      <c r="I43" s="66" t="s">
        <v>234</v>
      </c>
      <c r="J43" s="67" t="s">
        <v>235</v>
      </c>
      <c r="K43" s="66" t="s">
        <v>236</v>
      </c>
      <c r="L43" s="66" t="s">
        <v>237</v>
      </c>
      <c r="M43" s="67" t="s">
        <v>159</v>
      </c>
      <c r="N43" s="67" t="s">
        <v>199</v>
      </c>
      <c r="O43" s="68" t="s">
        <v>218</v>
      </c>
      <c r="P43" s="69" t="s">
        <v>238</v>
      </c>
    </row>
    <row r="44" spans="1:16" ht="12.75" customHeight="1" x14ac:dyDescent="0.2">
      <c r="A44" s="26" t="str">
        <f t="shared" si="6"/>
        <v>IBVS 5653 </v>
      </c>
      <c r="B44" s="14" t="str">
        <f t="shared" si="7"/>
        <v>I</v>
      </c>
      <c r="C44" s="26">
        <f t="shared" si="8"/>
        <v>53341.304900000003</v>
      </c>
      <c r="D44" t="str">
        <f t="shared" si="9"/>
        <v>vis</v>
      </c>
      <c r="E44">
        <f>VLOOKUP(C44,Active!C$21:E$970,3,FALSE)</f>
        <v>13315.956391648206</v>
      </c>
      <c r="F44" s="14" t="s">
        <v>97</v>
      </c>
      <c r="G44" t="str">
        <f t="shared" si="10"/>
        <v>53341.3049</v>
      </c>
      <c r="H44" s="26">
        <f t="shared" si="11"/>
        <v>13316</v>
      </c>
      <c r="I44" s="66" t="s">
        <v>239</v>
      </c>
      <c r="J44" s="67" t="s">
        <v>240</v>
      </c>
      <c r="K44" s="66" t="s">
        <v>241</v>
      </c>
      <c r="L44" s="66" t="s">
        <v>230</v>
      </c>
      <c r="M44" s="67" t="s">
        <v>159</v>
      </c>
      <c r="N44" s="67" t="s">
        <v>231</v>
      </c>
      <c r="O44" s="68" t="s">
        <v>242</v>
      </c>
      <c r="P44" s="69" t="s">
        <v>243</v>
      </c>
    </row>
    <row r="45" spans="1:16" ht="12.75" customHeight="1" x14ac:dyDescent="0.2">
      <c r="A45" s="26" t="str">
        <f t="shared" si="6"/>
        <v>BAVM 178 </v>
      </c>
      <c r="B45" s="14" t="str">
        <f t="shared" si="7"/>
        <v>I</v>
      </c>
      <c r="C45" s="26">
        <f t="shared" si="8"/>
        <v>53648.347300000001</v>
      </c>
      <c r="D45" t="str">
        <f t="shared" si="9"/>
        <v>vis</v>
      </c>
      <c r="E45">
        <f>VLOOKUP(C45,Active!C$21:E$970,3,FALSE)</f>
        <v>13844.947565606961</v>
      </c>
      <c r="F45" s="14" t="s">
        <v>97</v>
      </c>
      <c r="G45" t="str">
        <f t="shared" si="10"/>
        <v>53648.3473</v>
      </c>
      <c r="H45" s="26">
        <f t="shared" si="11"/>
        <v>13845</v>
      </c>
      <c r="I45" s="66" t="s">
        <v>244</v>
      </c>
      <c r="J45" s="67" t="s">
        <v>245</v>
      </c>
      <c r="K45" s="66" t="s">
        <v>246</v>
      </c>
      <c r="L45" s="66" t="s">
        <v>247</v>
      </c>
      <c r="M45" s="67" t="s">
        <v>224</v>
      </c>
      <c r="N45" s="67" t="s">
        <v>199</v>
      </c>
      <c r="O45" s="68" t="s">
        <v>248</v>
      </c>
      <c r="P45" s="69" t="s">
        <v>249</v>
      </c>
    </row>
    <row r="46" spans="1:16" ht="12.75" customHeight="1" x14ac:dyDescent="0.2">
      <c r="A46" s="26" t="str">
        <f t="shared" si="6"/>
        <v>BAVM 186 </v>
      </c>
      <c r="B46" s="14" t="str">
        <f t="shared" si="7"/>
        <v>I</v>
      </c>
      <c r="C46" s="26">
        <f t="shared" si="8"/>
        <v>53941.4686</v>
      </c>
      <c r="D46" t="str">
        <f t="shared" si="9"/>
        <v>vis</v>
      </c>
      <c r="E46">
        <f>VLOOKUP(C46,Active!C$21:E$970,3,FALSE)</f>
        <v>14349.954628472928</v>
      </c>
      <c r="F46" s="14" t="s">
        <v>97</v>
      </c>
      <c r="G46" t="str">
        <f t="shared" si="10"/>
        <v>53941.4686</v>
      </c>
      <c r="H46" s="26">
        <f t="shared" si="11"/>
        <v>14350</v>
      </c>
      <c r="I46" s="66" t="s">
        <v>250</v>
      </c>
      <c r="J46" s="67" t="s">
        <v>251</v>
      </c>
      <c r="K46" s="66" t="s">
        <v>252</v>
      </c>
      <c r="L46" s="66" t="s">
        <v>253</v>
      </c>
      <c r="M46" s="67" t="s">
        <v>224</v>
      </c>
      <c r="N46" s="67" t="s">
        <v>199</v>
      </c>
      <c r="O46" s="68" t="s">
        <v>254</v>
      </c>
      <c r="P46" s="69" t="s">
        <v>255</v>
      </c>
    </row>
    <row r="47" spans="1:16" ht="12.75" customHeight="1" x14ac:dyDescent="0.2">
      <c r="A47" s="26" t="str">
        <f t="shared" si="6"/>
        <v>IBVS 5746 </v>
      </c>
      <c r="B47" s="14" t="str">
        <f t="shared" si="7"/>
        <v>I</v>
      </c>
      <c r="C47" s="26">
        <f t="shared" si="8"/>
        <v>53991.380700000002</v>
      </c>
      <c r="D47" t="str">
        <f t="shared" si="9"/>
        <v>vis</v>
      </c>
      <c r="E47">
        <f>VLOOKUP(C47,Active!C$21:E$970,3,FALSE)</f>
        <v>14435.946206097868</v>
      </c>
      <c r="F47" s="14" t="s">
        <v>97</v>
      </c>
      <c r="G47" t="str">
        <f t="shared" si="10"/>
        <v>53991.3807</v>
      </c>
      <c r="H47" s="26">
        <f t="shared" si="11"/>
        <v>14436</v>
      </c>
      <c r="I47" s="66" t="s">
        <v>256</v>
      </c>
      <c r="J47" s="67" t="s">
        <v>257</v>
      </c>
      <c r="K47" s="66" t="s">
        <v>258</v>
      </c>
      <c r="L47" s="66" t="s">
        <v>259</v>
      </c>
      <c r="M47" s="67" t="s">
        <v>159</v>
      </c>
      <c r="N47" s="67" t="s">
        <v>231</v>
      </c>
      <c r="O47" s="68" t="s">
        <v>260</v>
      </c>
      <c r="P47" s="69" t="s">
        <v>261</v>
      </c>
    </row>
    <row r="48" spans="1:16" ht="12.75" customHeight="1" x14ac:dyDescent="0.2">
      <c r="A48" s="26" t="str">
        <f t="shared" si="6"/>
        <v>OEJV 0074 </v>
      </c>
      <c r="B48" s="14" t="str">
        <f t="shared" si="7"/>
        <v>I</v>
      </c>
      <c r="C48" s="26">
        <f t="shared" si="8"/>
        <v>54048.266580000003</v>
      </c>
      <c r="D48" t="str">
        <f t="shared" si="9"/>
        <v>vis</v>
      </c>
      <c r="E48">
        <f>VLOOKUP(C48,Active!C$21:E$970,3,FALSE)</f>
        <v>14533.952632711515</v>
      </c>
      <c r="F48" s="14" t="s">
        <v>97</v>
      </c>
      <c r="G48" t="str">
        <f t="shared" si="10"/>
        <v>54048.26658</v>
      </c>
      <c r="H48" s="26">
        <f t="shared" si="11"/>
        <v>14534</v>
      </c>
      <c r="I48" s="66" t="s">
        <v>262</v>
      </c>
      <c r="J48" s="67" t="s">
        <v>263</v>
      </c>
      <c r="K48" s="66" t="s">
        <v>264</v>
      </c>
      <c r="L48" s="66" t="s">
        <v>265</v>
      </c>
      <c r="M48" s="67" t="s">
        <v>224</v>
      </c>
      <c r="N48" s="67" t="s">
        <v>92</v>
      </c>
      <c r="O48" s="68" t="s">
        <v>266</v>
      </c>
      <c r="P48" s="69" t="s">
        <v>206</v>
      </c>
    </row>
    <row r="49" spans="1:16" ht="12.75" customHeight="1" x14ac:dyDescent="0.2">
      <c r="A49" s="26" t="str">
        <f t="shared" si="6"/>
        <v>OEJV 0074 </v>
      </c>
      <c r="B49" s="14" t="str">
        <f t="shared" si="7"/>
        <v>I</v>
      </c>
      <c r="C49" s="26">
        <f t="shared" si="8"/>
        <v>54055.23199</v>
      </c>
      <c r="D49" t="str">
        <f t="shared" si="9"/>
        <v>vis</v>
      </c>
      <c r="E49">
        <f>VLOOKUP(C49,Active!C$21:E$970,3,FALSE)</f>
        <v>14545.953061359161</v>
      </c>
      <c r="F49" s="14" t="s">
        <v>97</v>
      </c>
      <c r="G49" t="str">
        <f t="shared" si="10"/>
        <v>54055.23199</v>
      </c>
      <c r="H49" s="26">
        <f t="shared" si="11"/>
        <v>14546</v>
      </c>
      <c r="I49" s="66" t="s">
        <v>267</v>
      </c>
      <c r="J49" s="67" t="s">
        <v>268</v>
      </c>
      <c r="K49" s="66" t="s">
        <v>269</v>
      </c>
      <c r="L49" s="66" t="s">
        <v>270</v>
      </c>
      <c r="M49" s="67" t="s">
        <v>224</v>
      </c>
      <c r="N49" s="67" t="s">
        <v>92</v>
      </c>
      <c r="O49" s="68" t="s">
        <v>266</v>
      </c>
      <c r="P49" s="69" t="s">
        <v>206</v>
      </c>
    </row>
    <row r="50" spans="1:16" ht="12.75" customHeight="1" x14ac:dyDescent="0.2">
      <c r="A50" s="26" t="str">
        <f t="shared" si="6"/>
        <v>IBVS 5870 </v>
      </c>
      <c r="B50" s="14" t="str">
        <f t="shared" si="7"/>
        <v>II</v>
      </c>
      <c r="C50" s="26">
        <f t="shared" si="8"/>
        <v>54788.605600000003</v>
      </c>
      <c r="D50" t="str">
        <f t="shared" si="9"/>
        <v>vis</v>
      </c>
      <c r="E50">
        <f>VLOOKUP(C50,Active!C$21:E$970,3,FALSE)</f>
        <v>15809.453369148167</v>
      </c>
      <c r="F50" s="14" t="s">
        <v>97</v>
      </c>
      <c r="G50" t="str">
        <f t="shared" si="10"/>
        <v>54788.6056</v>
      </c>
      <c r="H50" s="26">
        <f t="shared" si="11"/>
        <v>15809.5</v>
      </c>
      <c r="I50" s="66" t="s">
        <v>271</v>
      </c>
      <c r="J50" s="67" t="s">
        <v>272</v>
      </c>
      <c r="K50" s="66" t="s">
        <v>273</v>
      </c>
      <c r="L50" s="66" t="s">
        <v>274</v>
      </c>
      <c r="M50" s="67" t="s">
        <v>224</v>
      </c>
      <c r="N50" s="67" t="s">
        <v>97</v>
      </c>
      <c r="O50" s="68" t="s">
        <v>225</v>
      </c>
      <c r="P50" s="69" t="s">
        <v>275</v>
      </c>
    </row>
    <row r="51" spans="1:16" ht="12.75" customHeight="1" x14ac:dyDescent="0.2">
      <c r="A51" s="26" t="str">
        <f t="shared" si="6"/>
        <v>IBVS 5870 </v>
      </c>
      <c r="B51" s="14" t="str">
        <f t="shared" si="7"/>
        <v>I</v>
      </c>
      <c r="C51" s="26">
        <f t="shared" si="8"/>
        <v>54793.536200000002</v>
      </c>
      <c r="D51" t="str">
        <f t="shared" si="9"/>
        <v>vis</v>
      </c>
      <c r="E51">
        <f>VLOOKUP(C51,Active!C$21:E$970,3,FALSE)</f>
        <v>15817.948104345392</v>
      </c>
      <c r="F51" s="14" t="s">
        <v>97</v>
      </c>
      <c r="G51" t="str">
        <f t="shared" si="10"/>
        <v>54793.5362</v>
      </c>
      <c r="H51" s="26">
        <f t="shared" si="11"/>
        <v>15818</v>
      </c>
      <c r="I51" s="66" t="s">
        <v>276</v>
      </c>
      <c r="J51" s="67" t="s">
        <v>277</v>
      </c>
      <c r="K51" s="66" t="s">
        <v>278</v>
      </c>
      <c r="L51" s="66" t="s">
        <v>279</v>
      </c>
      <c r="M51" s="67" t="s">
        <v>224</v>
      </c>
      <c r="N51" s="67" t="s">
        <v>97</v>
      </c>
      <c r="O51" s="68" t="s">
        <v>225</v>
      </c>
      <c r="P51" s="69" t="s">
        <v>275</v>
      </c>
    </row>
    <row r="52" spans="1:16" ht="12.75" customHeight="1" x14ac:dyDescent="0.2">
      <c r="A52" s="26" t="str">
        <f t="shared" si="6"/>
        <v> JAAVSO 38;120 </v>
      </c>
      <c r="B52" s="14" t="str">
        <f t="shared" si="7"/>
        <v>I</v>
      </c>
      <c r="C52" s="26">
        <f t="shared" si="8"/>
        <v>55116.250599999999</v>
      </c>
      <c r="D52" t="str">
        <f t="shared" si="9"/>
        <v>CCD</v>
      </c>
      <c r="E52">
        <f>VLOOKUP(C52,Active!C$21:E$970,3,FALSE)</f>
        <v>16373.939945567956</v>
      </c>
      <c r="F52" s="14" t="str">
        <f>LEFT(M52,1)</f>
        <v>C</v>
      </c>
      <c r="G52" t="str">
        <f t="shared" si="10"/>
        <v>55116.2506</v>
      </c>
      <c r="H52" s="26">
        <f t="shared" si="11"/>
        <v>16374</v>
      </c>
      <c r="I52" s="66" t="s">
        <v>280</v>
      </c>
      <c r="J52" s="67" t="s">
        <v>281</v>
      </c>
      <c r="K52" s="66" t="s">
        <v>282</v>
      </c>
      <c r="L52" s="66" t="s">
        <v>283</v>
      </c>
      <c r="M52" s="67" t="s">
        <v>224</v>
      </c>
      <c r="N52" s="67" t="s">
        <v>284</v>
      </c>
      <c r="O52" s="68" t="s">
        <v>285</v>
      </c>
      <c r="P52" s="68" t="s">
        <v>286</v>
      </c>
    </row>
    <row r="53" spans="1:16" ht="12.75" customHeight="1" x14ac:dyDescent="0.2">
      <c r="A53" s="26" t="str">
        <f t="shared" si="6"/>
        <v>IBVS 5997 </v>
      </c>
      <c r="B53" s="14" t="str">
        <f t="shared" si="7"/>
        <v>I</v>
      </c>
      <c r="C53" s="26">
        <f t="shared" si="8"/>
        <v>55135.410100000001</v>
      </c>
      <c r="D53" t="str">
        <f t="shared" si="9"/>
        <v>CCD</v>
      </c>
      <c r="E53">
        <f>VLOOKUP(C53,Active!C$21:E$970,3,FALSE)</f>
        <v>16406.949088270932</v>
      </c>
      <c r="F53" s="14" t="str">
        <f>LEFT(M53,1)</f>
        <v>C</v>
      </c>
      <c r="G53" t="str">
        <f t="shared" si="10"/>
        <v>55135.4101</v>
      </c>
      <c r="H53" s="26">
        <f t="shared" si="11"/>
        <v>16407</v>
      </c>
      <c r="I53" s="66" t="s">
        <v>287</v>
      </c>
      <c r="J53" s="67" t="s">
        <v>288</v>
      </c>
      <c r="K53" s="66" t="s">
        <v>289</v>
      </c>
      <c r="L53" s="66" t="s">
        <v>290</v>
      </c>
      <c r="M53" s="67" t="s">
        <v>224</v>
      </c>
      <c r="N53" s="67" t="s">
        <v>92</v>
      </c>
      <c r="O53" s="68" t="s">
        <v>291</v>
      </c>
      <c r="P53" s="69" t="s">
        <v>292</v>
      </c>
    </row>
    <row r="54" spans="1:16" ht="12.75" customHeight="1" x14ac:dyDescent="0.2">
      <c r="A54" s="26" t="str">
        <f t="shared" si="6"/>
        <v>IBVS 5997 </v>
      </c>
      <c r="B54" s="14" t="str">
        <f t="shared" si="7"/>
        <v>II</v>
      </c>
      <c r="C54" s="26">
        <f t="shared" si="8"/>
        <v>55147.3105</v>
      </c>
      <c r="D54" t="str">
        <f t="shared" si="9"/>
        <v>CCD</v>
      </c>
      <c r="E54">
        <f>VLOOKUP(C54,Active!C$21:E$970,3,FALSE)</f>
        <v>16427.451815472705</v>
      </c>
      <c r="F54" s="14" t="str">
        <f>LEFT(M54,1)</f>
        <v>C</v>
      </c>
      <c r="G54" t="str">
        <f t="shared" si="10"/>
        <v>55147.3105</v>
      </c>
      <c r="H54" s="26">
        <f t="shared" si="11"/>
        <v>16427.5</v>
      </c>
      <c r="I54" s="66" t="s">
        <v>293</v>
      </c>
      <c r="J54" s="67" t="s">
        <v>294</v>
      </c>
      <c r="K54" s="66" t="s">
        <v>295</v>
      </c>
      <c r="L54" s="66" t="s">
        <v>296</v>
      </c>
      <c r="M54" s="67" t="s">
        <v>224</v>
      </c>
      <c r="N54" s="67" t="s">
        <v>92</v>
      </c>
      <c r="O54" s="68" t="s">
        <v>291</v>
      </c>
      <c r="P54" s="69" t="s">
        <v>292</v>
      </c>
    </row>
    <row r="55" spans="1:16" ht="12.75" customHeight="1" x14ac:dyDescent="0.2">
      <c r="A55" s="26" t="str">
        <f t="shared" si="6"/>
        <v>IBVS 5960 </v>
      </c>
      <c r="B55" s="14" t="str">
        <f t="shared" si="7"/>
        <v>I</v>
      </c>
      <c r="C55" s="26">
        <f t="shared" si="8"/>
        <v>55383.832900000001</v>
      </c>
      <c r="D55" t="str">
        <f t="shared" si="9"/>
        <v>CCD</v>
      </c>
      <c r="E55">
        <f>VLOOKUP(C55,Active!C$21:E$970,3,FALSE)</f>
        <v>16834.946878185685</v>
      </c>
      <c r="F55" s="14" t="str">
        <f>LEFT(M55,1)</f>
        <v>C</v>
      </c>
      <c r="G55" t="str">
        <f t="shared" si="10"/>
        <v>55383.8329</v>
      </c>
      <c r="H55" s="26">
        <f t="shared" si="11"/>
        <v>16835</v>
      </c>
      <c r="I55" s="66" t="s">
        <v>297</v>
      </c>
      <c r="J55" s="67" t="s">
        <v>298</v>
      </c>
      <c r="K55" s="66" t="s">
        <v>299</v>
      </c>
      <c r="L55" s="66" t="s">
        <v>300</v>
      </c>
      <c r="M55" s="67" t="s">
        <v>224</v>
      </c>
      <c r="N55" s="67" t="s">
        <v>97</v>
      </c>
      <c r="O55" s="68" t="s">
        <v>114</v>
      </c>
      <c r="P55" s="69" t="s">
        <v>301</v>
      </c>
    </row>
    <row r="56" spans="1:16" ht="12.75" customHeight="1" x14ac:dyDescent="0.2">
      <c r="A56" s="26" t="str">
        <f t="shared" si="6"/>
        <v>BAVM 232 </v>
      </c>
      <c r="B56" s="14" t="str">
        <f t="shared" si="7"/>
        <v>I</v>
      </c>
      <c r="C56" s="26">
        <f t="shared" si="8"/>
        <v>56135.482900000003</v>
      </c>
      <c r="D56" t="str">
        <f t="shared" si="9"/>
        <v>CCD</v>
      </c>
      <c r="E56">
        <f>VLOOKUP(C56,Active!C$21:E$970,3,FALSE)</f>
        <v>18129.93485348194</v>
      </c>
      <c r="F56" s="14" t="str">
        <f>LEFT(M56,1)</f>
        <v>C</v>
      </c>
      <c r="G56" t="str">
        <f t="shared" si="10"/>
        <v>56135.4829</v>
      </c>
      <c r="H56" s="26">
        <f t="shared" si="11"/>
        <v>18130</v>
      </c>
      <c r="I56" s="66" t="s">
        <v>302</v>
      </c>
      <c r="J56" s="67" t="s">
        <v>303</v>
      </c>
      <c r="K56" s="66" t="s">
        <v>304</v>
      </c>
      <c r="L56" s="66" t="s">
        <v>305</v>
      </c>
      <c r="M56" s="67" t="s">
        <v>224</v>
      </c>
      <c r="N56" s="67" t="s">
        <v>306</v>
      </c>
      <c r="O56" s="68" t="s">
        <v>307</v>
      </c>
      <c r="P56" s="69" t="s">
        <v>308</v>
      </c>
    </row>
    <row r="57" spans="1:16" ht="12.75" customHeight="1" x14ac:dyDescent="0.2">
      <c r="A57" s="26" t="str">
        <f t="shared" si="6"/>
        <v> AN 255.419 </v>
      </c>
      <c r="B57" s="14" t="str">
        <f t="shared" si="7"/>
        <v>II</v>
      </c>
      <c r="C57" s="26">
        <f t="shared" si="8"/>
        <v>26223.530999999999</v>
      </c>
      <c r="D57" t="str">
        <f t="shared" si="9"/>
        <v>vis</v>
      </c>
      <c r="E57">
        <f>VLOOKUP(C57,Active!C$21:E$970,3,FALSE)</f>
        <v>-33404.180796275039</v>
      </c>
      <c r="F57" s="14" t="s">
        <v>97</v>
      </c>
      <c r="G57" t="str">
        <f t="shared" si="10"/>
        <v>26223.531</v>
      </c>
      <c r="H57" s="26">
        <f t="shared" si="11"/>
        <v>-33406.5</v>
      </c>
      <c r="I57" s="66" t="s">
        <v>309</v>
      </c>
      <c r="J57" s="67" t="s">
        <v>310</v>
      </c>
      <c r="K57" s="66">
        <v>-33406.5</v>
      </c>
      <c r="L57" s="66" t="s">
        <v>311</v>
      </c>
      <c r="M57" s="67" t="s">
        <v>312</v>
      </c>
      <c r="N57" s="67"/>
      <c r="O57" s="68" t="s">
        <v>313</v>
      </c>
      <c r="P57" s="68" t="s">
        <v>44</v>
      </c>
    </row>
    <row r="58" spans="1:16" ht="12.75" customHeight="1" x14ac:dyDescent="0.2">
      <c r="A58" s="26" t="str">
        <f t="shared" si="6"/>
        <v> AN 255.419 </v>
      </c>
      <c r="B58" s="14" t="str">
        <f t="shared" si="7"/>
        <v>II</v>
      </c>
      <c r="C58" s="26">
        <f t="shared" si="8"/>
        <v>26244.392</v>
      </c>
      <c r="D58" t="str">
        <f t="shared" si="9"/>
        <v>vis</v>
      </c>
      <c r="E58">
        <f>VLOOKUP(C58,Active!C$21:E$970,3,FALSE)</f>
        <v>-33368.240206701892</v>
      </c>
      <c r="F58" s="14" t="s">
        <v>97</v>
      </c>
      <c r="G58" t="str">
        <f t="shared" si="10"/>
        <v>26244.392</v>
      </c>
      <c r="H58" s="26">
        <f t="shared" si="11"/>
        <v>-33370.5</v>
      </c>
      <c r="I58" s="66" t="s">
        <v>314</v>
      </c>
      <c r="J58" s="67" t="s">
        <v>315</v>
      </c>
      <c r="K58" s="66">
        <v>-33370.5</v>
      </c>
      <c r="L58" s="66" t="s">
        <v>316</v>
      </c>
      <c r="M58" s="67" t="s">
        <v>312</v>
      </c>
      <c r="N58" s="67"/>
      <c r="O58" s="68" t="s">
        <v>313</v>
      </c>
      <c r="P58" s="68" t="s">
        <v>44</v>
      </c>
    </row>
    <row r="59" spans="1:16" ht="12.75" customHeight="1" x14ac:dyDescent="0.2">
      <c r="A59" s="26" t="str">
        <f t="shared" si="6"/>
        <v> AN 255.419 </v>
      </c>
      <c r="B59" s="14" t="str">
        <f t="shared" si="7"/>
        <v>II</v>
      </c>
      <c r="C59" s="26">
        <f t="shared" si="8"/>
        <v>26333.238000000001</v>
      </c>
      <c r="D59" t="str">
        <f t="shared" si="9"/>
        <v>vis</v>
      </c>
      <c r="E59">
        <f>VLOOKUP(C59,Active!C$21:E$970,3,FALSE)</f>
        <v>-33215.170956847338</v>
      </c>
      <c r="F59" s="14" t="s">
        <v>97</v>
      </c>
      <c r="G59" t="str">
        <f t="shared" si="10"/>
        <v>26333.238</v>
      </c>
      <c r="H59" s="26">
        <f t="shared" si="11"/>
        <v>-33217.5</v>
      </c>
      <c r="I59" s="66" t="s">
        <v>317</v>
      </c>
      <c r="J59" s="67" t="s">
        <v>318</v>
      </c>
      <c r="K59" s="66">
        <v>-33217.5</v>
      </c>
      <c r="L59" s="66" t="s">
        <v>319</v>
      </c>
      <c r="M59" s="67" t="s">
        <v>312</v>
      </c>
      <c r="N59" s="67"/>
      <c r="O59" s="68" t="s">
        <v>313</v>
      </c>
      <c r="P59" s="68" t="s">
        <v>44</v>
      </c>
    </row>
    <row r="60" spans="1:16" ht="12.75" customHeight="1" x14ac:dyDescent="0.2">
      <c r="A60" s="26" t="str">
        <f t="shared" si="6"/>
        <v> AN 255.419 </v>
      </c>
      <c r="B60" s="14" t="str">
        <f t="shared" si="7"/>
        <v>II</v>
      </c>
      <c r="C60" s="26">
        <f t="shared" si="8"/>
        <v>27655.45</v>
      </c>
      <c r="D60" t="str">
        <f t="shared" si="9"/>
        <v>vis</v>
      </c>
      <c r="E60">
        <f>VLOOKUP(C60,Active!C$21:E$970,3,FALSE)</f>
        <v>-30937.184339681899</v>
      </c>
      <c r="F60" s="14" t="s">
        <v>97</v>
      </c>
      <c r="G60" t="str">
        <f t="shared" si="10"/>
        <v>27655.450</v>
      </c>
      <c r="H60" s="26">
        <f t="shared" si="11"/>
        <v>-30939.5</v>
      </c>
      <c r="I60" s="66" t="s">
        <v>320</v>
      </c>
      <c r="J60" s="67" t="s">
        <v>321</v>
      </c>
      <c r="K60" s="66">
        <v>-30939.5</v>
      </c>
      <c r="L60" s="66" t="s">
        <v>322</v>
      </c>
      <c r="M60" s="67" t="s">
        <v>101</v>
      </c>
      <c r="N60" s="67"/>
      <c r="O60" s="68" t="s">
        <v>313</v>
      </c>
      <c r="P60" s="68" t="s">
        <v>44</v>
      </c>
    </row>
    <row r="61" spans="1:16" ht="12.75" customHeight="1" x14ac:dyDescent="0.2">
      <c r="A61" s="26" t="str">
        <f t="shared" si="6"/>
        <v> AN 255.419 </v>
      </c>
      <c r="B61" s="14" t="str">
        <f t="shared" si="7"/>
        <v>II</v>
      </c>
      <c r="C61" s="26">
        <f t="shared" si="8"/>
        <v>27658.362000000001</v>
      </c>
      <c r="D61" t="str">
        <f t="shared" si="9"/>
        <v>vis</v>
      </c>
      <c r="E61">
        <f>VLOOKUP(C61,Active!C$21:E$970,3,FALSE)</f>
        <v>-30932.167370368967</v>
      </c>
      <c r="F61" s="14" t="s">
        <v>97</v>
      </c>
      <c r="G61" t="str">
        <f t="shared" si="10"/>
        <v>27658.362</v>
      </c>
      <c r="H61" s="26">
        <f t="shared" si="11"/>
        <v>-30934.5</v>
      </c>
      <c r="I61" s="66" t="s">
        <v>323</v>
      </c>
      <c r="J61" s="67" t="s">
        <v>324</v>
      </c>
      <c r="K61" s="66">
        <v>-30934.5</v>
      </c>
      <c r="L61" s="66" t="s">
        <v>325</v>
      </c>
      <c r="M61" s="67" t="s">
        <v>101</v>
      </c>
      <c r="N61" s="67"/>
      <c r="O61" s="68" t="s">
        <v>313</v>
      </c>
      <c r="P61" s="68" t="s">
        <v>44</v>
      </c>
    </row>
    <row r="62" spans="1:16" ht="12.75" customHeight="1" x14ac:dyDescent="0.2">
      <c r="A62" s="26" t="str">
        <f t="shared" si="6"/>
        <v> AN 255.420 </v>
      </c>
      <c r="B62" s="14" t="str">
        <f t="shared" si="7"/>
        <v>II</v>
      </c>
      <c r="C62" s="26">
        <f t="shared" si="8"/>
        <v>27666.5</v>
      </c>
      <c r="D62" t="str">
        <f t="shared" si="9"/>
        <v>vis</v>
      </c>
      <c r="E62">
        <f>VLOOKUP(C62,Active!C$21:E$970,3,FALSE)</f>
        <v>-30918.146732914091</v>
      </c>
      <c r="F62" s="14" t="s">
        <v>97</v>
      </c>
      <c r="G62" t="str">
        <f t="shared" si="10"/>
        <v>27666.500</v>
      </c>
      <c r="H62" s="26">
        <f t="shared" si="11"/>
        <v>-30920.5</v>
      </c>
      <c r="I62" s="66" t="s">
        <v>326</v>
      </c>
      <c r="J62" s="67" t="s">
        <v>327</v>
      </c>
      <c r="K62" s="66">
        <v>-30920.5</v>
      </c>
      <c r="L62" s="66" t="s">
        <v>328</v>
      </c>
      <c r="M62" s="67" t="s">
        <v>101</v>
      </c>
      <c r="N62" s="67"/>
      <c r="O62" s="68" t="s">
        <v>313</v>
      </c>
      <c r="P62" s="68" t="s">
        <v>46</v>
      </c>
    </row>
    <row r="63" spans="1:16" ht="12.75" customHeight="1" x14ac:dyDescent="0.2">
      <c r="A63" s="26" t="str">
        <f t="shared" si="6"/>
        <v> AN 255.420 </v>
      </c>
      <c r="B63" s="14" t="str">
        <f t="shared" si="7"/>
        <v>II</v>
      </c>
      <c r="C63" s="26">
        <f t="shared" si="8"/>
        <v>27684.49</v>
      </c>
      <c r="D63" t="str">
        <f t="shared" si="9"/>
        <v>vis</v>
      </c>
      <c r="E63">
        <f>VLOOKUP(C63,Active!C$21:E$970,3,FALSE)</f>
        <v>-30887.152475379888</v>
      </c>
      <c r="F63" s="14" t="s">
        <v>97</v>
      </c>
      <c r="G63" t="str">
        <f t="shared" si="10"/>
        <v>27684.490</v>
      </c>
      <c r="H63" s="26">
        <f t="shared" si="11"/>
        <v>-30889.5</v>
      </c>
      <c r="I63" s="66" t="s">
        <v>329</v>
      </c>
      <c r="J63" s="67" t="s">
        <v>330</v>
      </c>
      <c r="K63" s="66">
        <v>-30889.5</v>
      </c>
      <c r="L63" s="66" t="s">
        <v>331</v>
      </c>
      <c r="M63" s="67" t="s">
        <v>101</v>
      </c>
      <c r="N63" s="67"/>
      <c r="O63" s="68" t="s">
        <v>313</v>
      </c>
      <c r="P63" s="68" t="s">
        <v>46</v>
      </c>
    </row>
    <row r="64" spans="1:16" ht="12.75" customHeight="1" x14ac:dyDescent="0.2">
      <c r="A64" s="26" t="str">
        <f t="shared" si="6"/>
        <v> AN 255.420 </v>
      </c>
      <c r="B64" s="14" t="str">
        <f t="shared" si="7"/>
        <v>II</v>
      </c>
      <c r="C64" s="26">
        <f t="shared" si="8"/>
        <v>27685.63</v>
      </c>
      <c r="D64" t="str">
        <f t="shared" si="9"/>
        <v>vis</v>
      </c>
      <c r="E64">
        <f>VLOOKUP(C64,Active!C$21:E$970,3,FALSE)</f>
        <v>-30885.188414591175</v>
      </c>
      <c r="F64" s="14" t="s">
        <v>97</v>
      </c>
      <c r="G64" t="str">
        <f t="shared" si="10"/>
        <v>27685.630</v>
      </c>
      <c r="H64" s="26">
        <f t="shared" si="11"/>
        <v>-30887.5</v>
      </c>
      <c r="I64" s="66" t="s">
        <v>332</v>
      </c>
      <c r="J64" s="67" t="s">
        <v>333</v>
      </c>
      <c r="K64" s="66">
        <v>-30887.5</v>
      </c>
      <c r="L64" s="66" t="s">
        <v>334</v>
      </c>
      <c r="M64" s="67" t="s">
        <v>101</v>
      </c>
      <c r="N64" s="67"/>
      <c r="O64" s="68" t="s">
        <v>313</v>
      </c>
      <c r="P64" s="68" t="s">
        <v>46</v>
      </c>
    </row>
    <row r="65" spans="1:16" ht="12.75" customHeight="1" x14ac:dyDescent="0.2">
      <c r="A65" s="26" t="str">
        <f t="shared" si="6"/>
        <v> AN 255.420 </v>
      </c>
      <c r="B65" s="14" t="str">
        <f t="shared" si="7"/>
        <v>II</v>
      </c>
      <c r="C65" s="26">
        <f t="shared" si="8"/>
        <v>27688.546999999999</v>
      </c>
      <c r="D65" t="str">
        <f t="shared" si="9"/>
        <v>vis</v>
      </c>
      <c r="E65">
        <f>VLOOKUP(C65,Active!C$21:E$970,3,FALSE)</f>
        <v>-30880.162830976547</v>
      </c>
      <c r="F65" s="14" t="s">
        <v>97</v>
      </c>
      <c r="G65" t="str">
        <f t="shared" si="10"/>
        <v>27688.547</v>
      </c>
      <c r="H65" s="26">
        <f t="shared" si="11"/>
        <v>-30882.5</v>
      </c>
      <c r="I65" s="66" t="s">
        <v>335</v>
      </c>
      <c r="J65" s="67" t="s">
        <v>336</v>
      </c>
      <c r="K65" s="66">
        <v>-30882.5</v>
      </c>
      <c r="L65" s="66" t="s">
        <v>337</v>
      </c>
      <c r="M65" s="67" t="s">
        <v>101</v>
      </c>
      <c r="N65" s="67"/>
      <c r="O65" s="68" t="s">
        <v>313</v>
      </c>
      <c r="P65" s="68" t="s">
        <v>46</v>
      </c>
    </row>
    <row r="66" spans="1:16" ht="12.75" customHeight="1" x14ac:dyDescent="0.2">
      <c r="A66" s="26" t="str">
        <f t="shared" si="6"/>
        <v> AN 255.420 </v>
      </c>
      <c r="B66" s="14" t="str">
        <f t="shared" si="7"/>
        <v>II</v>
      </c>
      <c r="C66" s="26">
        <f t="shared" si="8"/>
        <v>27691.45</v>
      </c>
      <c r="D66" t="str">
        <f t="shared" si="9"/>
        <v>vis</v>
      </c>
      <c r="E66">
        <f>VLOOKUP(C66,Active!C$21:E$970,3,FALSE)</f>
        <v>-30875.161367406683</v>
      </c>
      <c r="F66" s="14" t="s">
        <v>97</v>
      </c>
      <c r="G66" t="str">
        <f t="shared" si="10"/>
        <v>27691.450</v>
      </c>
      <c r="H66" s="26">
        <f t="shared" si="11"/>
        <v>-30877.5</v>
      </c>
      <c r="I66" s="66" t="s">
        <v>338</v>
      </c>
      <c r="J66" s="67" t="s">
        <v>339</v>
      </c>
      <c r="K66" s="66">
        <v>-30877.5</v>
      </c>
      <c r="L66" s="66" t="s">
        <v>337</v>
      </c>
      <c r="M66" s="67" t="s">
        <v>101</v>
      </c>
      <c r="N66" s="67"/>
      <c r="O66" s="68" t="s">
        <v>313</v>
      </c>
      <c r="P66" s="68" t="s">
        <v>46</v>
      </c>
    </row>
    <row r="67" spans="1:16" ht="12.75" customHeight="1" x14ac:dyDescent="0.2">
      <c r="A67" s="26" t="str">
        <f t="shared" si="6"/>
        <v> AN 255.420 </v>
      </c>
      <c r="B67" s="14" t="str">
        <f t="shared" si="7"/>
        <v>II</v>
      </c>
      <c r="C67" s="26">
        <f t="shared" si="8"/>
        <v>27699.58</v>
      </c>
      <c r="D67" t="str">
        <f t="shared" si="9"/>
        <v>vis</v>
      </c>
      <c r="E67">
        <f>VLOOKUP(C67,Active!C$21:E$970,3,FALSE)</f>
        <v>-30861.154512834528</v>
      </c>
      <c r="F67" s="14" t="s">
        <v>97</v>
      </c>
      <c r="G67" t="str">
        <f t="shared" si="10"/>
        <v>27699.580</v>
      </c>
      <c r="H67" s="26">
        <f t="shared" si="11"/>
        <v>-30863.5</v>
      </c>
      <c r="I67" s="66" t="s">
        <v>340</v>
      </c>
      <c r="J67" s="67" t="s">
        <v>341</v>
      </c>
      <c r="K67" s="66">
        <v>-30863.5</v>
      </c>
      <c r="L67" s="66" t="s">
        <v>342</v>
      </c>
      <c r="M67" s="67" t="s">
        <v>101</v>
      </c>
      <c r="N67" s="67"/>
      <c r="O67" s="68" t="s">
        <v>313</v>
      </c>
      <c r="P67" s="68" t="s">
        <v>46</v>
      </c>
    </row>
    <row r="68" spans="1:16" ht="12.75" customHeight="1" x14ac:dyDescent="0.2">
      <c r="A68" s="26" t="str">
        <f t="shared" si="6"/>
        <v> AN 255.420 </v>
      </c>
      <c r="B68" s="14" t="str">
        <f t="shared" si="7"/>
        <v>II</v>
      </c>
      <c r="C68" s="26">
        <f t="shared" si="8"/>
        <v>27745.425999999999</v>
      </c>
      <c r="D68" t="str">
        <f t="shared" si="9"/>
        <v>vis</v>
      </c>
      <c r="E68">
        <f>VLOOKUP(C68,Active!C$21:E$970,3,FALSE)</f>
        <v>-30782.168257642046</v>
      </c>
      <c r="F68" s="14" t="s">
        <v>97</v>
      </c>
      <c r="G68" t="str">
        <f t="shared" si="10"/>
        <v>27745.426</v>
      </c>
      <c r="H68" s="26">
        <f t="shared" si="11"/>
        <v>-30784.5</v>
      </c>
      <c r="I68" s="66" t="s">
        <v>343</v>
      </c>
      <c r="J68" s="67" t="s">
        <v>344</v>
      </c>
      <c r="K68" s="66">
        <v>-30784.5</v>
      </c>
      <c r="L68" s="66" t="s">
        <v>345</v>
      </c>
      <c r="M68" s="67" t="s">
        <v>101</v>
      </c>
      <c r="N68" s="67"/>
      <c r="O68" s="68" t="s">
        <v>313</v>
      </c>
      <c r="P68" s="68" t="s">
        <v>46</v>
      </c>
    </row>
    <row r="69" spans="1:16" ht="12.75" customHeight="1" x14ac:dyDescent="0.2">
      <c r="A69" s="26" t="str">
        <f t="shared" si="6"/>
        <v> AJ 62.375 </v>
      </c>
      <c r="B69" s="14" t="str">
        <f t="shared" si="7"/>
        <v>I</v>
      </c>
      <c r="C69" s="26">
        <f t="shared" si="8"/>
        <v>32005.793000000001</v>
      </c>
      <c r="D69" t="str">
        <f t="shared" si="9"/>
        <v>vis</v>
      </c>
      <c r="E69">
        <f>VLOOKUP(C69,Active!C$21:E$970,3,FALSE)</f>
        <v>-23442.15091532985</v>
      </c>
      <c r="F69" s="14" t="s">
        <v>97</v>
      </c>
      <c r="G69" t="str">
        <f t="shared" si="10"/>
        <v>32005.793</v>
      </c>
      <c r="H69" s="26">
        <f t="shared" si="11"/>
        <v>-23444</v>
      </c>
      <c r="I69" s="66" t="s">
        <v>346</v>
      </c>
      <c r="J69" s="67" t="s">
        <v>347</v>
      </c>
      <c r="K69" s="66">
        <v>-23444</v>
      </c>
      <c r="L69" s="66" t="s">
        <v>348</v>
      </c>
      <c r="M69" s="67" t="s">
        <v>349</v>
      </c>
      <c r="N69" s="67"/>
      <c r="O69" s="68" t="s">
        <v>350</v>
      </c>
      <c r="P69" s="68" t="s">
        <v>47</v>
      </c>
    </row>
    <row r="70" spans="1:16" ht="12.75" customHeight="1" x14ac:dyDescent="0.2">
      <c r="A70" s="26" t="str">
        <f t="shared" si="6"/>
        <v> AJ 62.375 </v>
      </c>
      <c r="B70" s="14" t="str">
        <f t="shared" si="7"/>
        <v>I</v>
      </c>
      <c r="C70" s="26">
        <f t="shared" si="8"/>
        <v>32799.841999999997</v>
      </c>
      <c r="D70" t="str">
        <f t="shared" si="9"/>
        <v>vis</v>
      </c>
      <c r="E70">
        <f>VLOOKUP(C70,Active!C$21:E$970,3,FALSE)</f>
        <v>-22074.115384436474</v>
      </c>
      <c r="F70" s="14" t="s">
        <v>97</v>
      </c>
      <c r="G70" t="str">
        <f t="shared" si="10"/>
        <v>32799.842</v>
      </c>
      <c r="H70" s="26">
        <f t="shared" si="11"/>
        <v>-22076</v>
      </c>
      <c r="I70" s="66" t="s">
        <v>351</v>
      </c>
      <c r="J70" s="67" t="s">
        <v>352</v>
      </c>
      <c r="K70" s="66">
        <v>-22076</v>
      </c>
      <c r="L70" s="66" t="s">
        <v>353</v>
      </c>
      <c r="M70" s="67" t="s">
        <v>349</v>
      </c>
      <c r="N70" s="67"/>
      <c r="O70" s="68" t="s">
        <v>350</v>
      </c>
      <c r="P70" s="68" t="s">
        <v>47</v>
      </c>
    </row>
    <row r="71" spans="1:16" ht="12.75" customHeight="1" x14ac:dyDescent="0.2">
      <c r="A71" s="26" t="str">
        <f t="shared" si="6"/>
        <v> AJ 62.375 </v>
      </c>
      <c r="B71" s="14" t="str">
        <f t="shared" si="7"/>
        <v>I</v>
      </c>
      <c r="C71" s="26">
        <f t="shared" si="8"/>
        <v>33584.599000000002</v>
      </c>
      <c r="D71" t="str">
        <f t="shared" si="9"/>
        <v>vis</v>
      </c>
      <c r="E71">
        <f>VLOOKUP(C71,Active!C$21:E$970,3,FALSE)</f>
        <v>-20722.08867183145</v>
      </c>
      <c r="F71" s="14" t="s">
        <v>97</v>
      </c>
      <c r="G71" t="str">
        <f t="shared" si="10"/>
        <v>33584.599</v>
      </c>
      <c r="H71" s="26">
        <f t="shared" si="11"/>
        <v>-20724</v>
      </c>
      <c r="I71" s="66" t="s">
        <v>354</v>
      </c>
      <c r="J71" s="67" t="s">
        <v>355</v>
      </c>
      <c r="K71" s="66">
        <v>-20724</v>
      </c>
      <c r="L71" s="66" t="s">
        <v>356</v>
      </c>
      <c r="M71" s="67" t="s">
        <v>349</v>
      </c>
      <c r="N71" s="67"/>
      <c r="O71" s="68" t="s">
        <v>350</v>
      </c>
      <c r="P71" s="68" t="s">
        <v>47</v>
      </c>
    </row>
    <row r="72" spans="1:16" ht="12.75" customHeight="1" x14ac:dyDescent="0.2">
      <c r="A72" s="26" t="str">
        <f t="shared" si="6"/>
        <v> AJ 62.375 </v>
      </c>
      <c r="B72" s="14" t="str">
        <f t="shared" si="7"/>
        <v>I</v>
      </c>
      <c r="C72" s="26">
        <f t="shared" si="8"/>
        <v>33981.612000000001</v>
      </c>
      <c r="D72" t="str">
        <f t="shared" si="9"/>
        <v>vis</v>
      </c>
      <c r="E72">
        <f>VLOOKUP(C72,Active!C$21:E$970,3,FALSE)</f>
        <v>-20038.09071927868</v>
      </c>
      <c r="F72" s="14" t="s">
        <v>97</v>
      </c>
      <c r="G72" t="str">
        <f t="shared" si="10"/>
        <v>33981.612</v>
      </c>
      <c r="H72" s="26">
        <f t="shared" si="11"/>
        <v>-20040</v>
      </c>
      <c r="I72" s="66" t="s">
        <v>357</v>
      </c>
      <c r="J72" s="67" t="s">
        <v>358</v>
      </c>
      <c r="K72" s="66">
        <v>-20040</v>
      </c>
      <c r="L72" s="66" t="s">
        <v>359</v>
      </c>
      <c r="M72" s="67" t="s">
        <v>349</v>
      </c>
      <c r="N72" s="67"/>
      <c r="O72" s="68" t="s">
        <v>350</v>
      </c>
      <c r="P72" s="68" t="s">
        <v>47</v>
      </c>
    </row>
    <row r="73" spans="1:16" ht="12.75" customHeight="1" x14ac:dyDescent="0.2">
      <c r="A73" s="26" t="str">
        <f t="shared" si="6"/>
        <v> AJ 62.375 </v>
      </c>
      <c r="B73" s="14" t="str">
        <f t="shared" si="7"/>
        <v>I</v>
      </c>
      <c r="C73" s="26">
        <f t="shared" si="8"/>
        <v>34245.705000000002</v>
      </c>
      <c r="D73" t="str">
        <f t="shared" si="9"/>
        <v>vis</v>
      </c>
      <c r="E73">
        <f>VLOOKUP(C73,Active!C$21:E$970,3,FALSE)</f>
        <v>-19583.095363248729</v>
      </c>
      <c r="F73" s="14" t="s">
        <v>97</v>
      </c>
      <c r="G73" t="str">
        <f t="shared" si="10"/>
        <v>34245.705</v>
      </c>
      <c r="H73" s="26">
        <f t="shared" si="11"/>
        <v>-19585</v>
      </c>
      <c r="I73" s="66" t="s">
        <v>360</v>
      </c>
      <c r="J73" s="67" t="s">
        <v>361</v>
      </c>
      <c r="K73" s="66">
        <v>-19585</v>
      </c>
      <c r="L73" s="66" t="s">
        <v>362</v>
      </c>
      <c r="M73" s="67" t="s">
        <v>349</v>
      </c>
      <c r="N73" s="67"/>
      <c r="O73" s="68" t="s">
        <v>350</v>
      </c>
      <c r="P73" s="68" t="s">
        <v>47</v>
      </c>
    </row>
    <row r="74" spans="1:16" ht="12.75" customHeight="1" x14ac:dyDescent="0.2">
      <c r="A74" s="26" t="str">
        <f t="shared" si="6"/>
        <v> AJ 62.375 </v>
      </c>
      <c r="B74" s="14" t="str">
        <f t="shared" si="7"/>
        <v>I</v>
      </c>
      <c r="C74" s="26">
        <f t="shared" si="8"/>
        <v>34627.642</v>
      </c>
      <c r="D74" t="str">
        <f t="shared" si="9"/>
        <v>vis</v>
      </c>
      <c r="E74">
        <f>VLOOKUP(C74,Active!C$21:E$970,3,FALSE)</f>
        <v>-18925.071253196547</v>
      </c>
      <c r="F74" s="14" t="s">
        <v>97</v>
      </c>
      <c r="G74" t="str">
        <f t="shared" si="10"/>
        <v>34627.642</v>
      </c>
      <c r="H74" s="26">
        <f t="shared" si="11"/>
        <v>-18927</v>
      </c>
      <c r="I74" s="66" t="s">
        <v>363</v>
      </c>
      <c r="J74" s="67" t="s">
        <v>364</v>
      </c>
      <c r="K74" s="66">
        <v>-18927</v>
      </c>
      <c r="L74" s="66" t="s">
        <v>365</v>
      </c>
      <c r="M74" s="67" t="s">
        <v>349</v>
      </c>
      <c r="N74" s="67"/>
      <c r="O74" s="68" t="s">
        <v>350</v>
      </c>
      <c r="P74" s="68" t="s">
        <v>47</v>
      </c>
    </row>
    <row r="75" spans="1:16" ht="12.75" customHeight="1" x14ac:dyDescent="0.2">
      <c r="A75" s="26" t="str">
        <f t="shared" ref="A75:A82" si="12">P75</f>
        <v> AJ 62.375 </v>
      </c>
      <c r="B75" s="14" t="str">
        <f t="shared" ref="B75:B82" si="13">IF(H75=INT(H75),"I","II")</f>
        <v>I</v>
      </c>
      <c r="C75" s="26">
        <f t="shared" ref="C75:C82" si="14">1*G75</f>
        <v>35002.6</v>
      </c>
      <c r="D75" t="str">
        <f t="shared" ref="D75:D82" si="15">VLOOKUP(F75,I$1:J$5,2,FALSE)</f>
        <v>vis</v>
      </c>
      <c r="E75">
        <f>VLOOKUP(C75,Active!C$21:E$970,3,FALSE)</f>
        <v>-18279.070985464052</v>
      </c>
      <c r="F75" s="14" t="s">
        <v>97</v>
      </c>
      <c r="G75" t="str">
        <f t="shared" ref="G75:G82" si="16">MID(I75,3,LEN(I75)-3)</f>
        <v>35002.600</v>
      </c>
      <c r="H75" s="26">
        <f t="shared" ref="H75:H82" si="17">1*K75</f>
        <v>-18281</v>
      </c>
      <c r="I75" s="66" t="s">
        <v>366</v>
      </c>
      <c r="J75" s="67" t="s">
        <v>367</v>
      </c>
      <c r="K75" s="66">
        <v>-18281</v>
      </c>
      <c r="L75" s="66" t="s">
        <v>365</v>
      </c>
      <c r="M75" s="67" t="s">
        <v>349</v>
      </c>
      <c r="N75" s="67"/>
      <c r="O75" s="68" t="s">
        <v>350</v>
      </c>
      <c r="P75" s="68" t="s">
        <v>47</v>
      </c>
    </row>
    <row r="76" spans="1:16" ht="12.75" customHeight="1" x14ac:dyDescent="0.2">
      <c r="A76" s="26" t="str">
        <f t="shared" si="12"/>
        <v> BBS 121 </v>
      </c>
      <c r="B76" s="14" t="str">
        <f t="shared" si="13"/>
        <v>I</v>
      </c>
      <c r="C76" s="26">
        <f t="shared" si="14"/>
        <v>51479.291599999997</v>
      </c>
      <c r="D76" t="str">
        <f t="shared" si="15"/>
        <v>vis</v>
      </c>
      <c r="E76">
        <f>VLOOKUP(C76,Active!C$21:E$970,3,FALSE)</f>
        <v>10107.967522704286</v>
      </c>
      <c r="F76" s="14" t="s">
        <v>97</v>
      </c>
      <c r="G76" t="str">
        <f t="shared" si="16"/>
        <v>51479.2916</v>
      </c>
      <c r="H76" s="26">
        <f t="shared" si="17"/>
        <v>10108</v>
      </c>
      <c r="I76" s="66" t="s">
        <v>368</v>
      </c>
      <c r="J76" s="67" t="s">
        <v>369</v>
      </c>
      <c r="K76" s="66">
        <v>10108</v>
      </c>
      <c r="L76" s="66" t="s">
        <v>370</v>
      </c>
      <c r="M76" s="67" t="s">
        <v>159</v>
      </c>
      <c r="N76" s="67" t="s">
        <v>371</v>
      </c>
      <c r="O76" s="68" t="s">
        <v>114</v>
      </c>
      <c r="P76" s="68" t="s">
        <v>66</v>
      </c>
    </row>
    <row r="77" spans="1:16" ht="12.75" customHeight="1" x14ac:dyDescent="0.2">
      <c r="A77" s="26" t="str">
        <f t="shared" si="12"/>
        <v>IBVS 5040 </v>
      </c>
      <c r="B77" s="14" t="str">
        <f t="shared" si="13"/>
        <v>I</v>
      </c>
      <c r="C77" s="26">
        <f t="shared" si="14"/>
        <v>51814.7788</v>
      </c>
      <c r="D77" t="str">
        <f t="shared" si="15"/>
        <v>vis</v>
      </c>
      <c r="E77" t="e">
        <f>VLOOKUP(C77,Active!C$21:E$970,3,FALSE)</f>
        <v>#N/A</v>
      </c>
      <c r="F77" s="14" t="s">
        <v>97</v>
      </c>
      <c r="G77" t="str">
        <f t="shared" si="16"/>
        <v>51814.7788</v>
      </c>
      <c r="H77" s="26">
        <f t="shared" si="17"/>
        <v>10686</v>
      </c>
      <c r="I77" s="66" t="s">
        <v>372</v>
      </c>
      <c r="J77" s="67" t="s">
        <v>373</v>
      </c>
      <c r="K77" s="66" t="s">
        <v>374</v>
      </c>
      <c r="L77" s="66" t="s">
        <v>375</v>
      </c>
      <c r="M77" s="67" t="s">
        <v>159</v>
      </c>
      <c r="N77" s="67" t="s">
        <v>231</v>
      </c>
      <c r="O77" s="68" t="s">
        <v>232</v>
      </c>
      <c r="P77" s="69" t="s">
        <v>376</v>
      </c>
    </row>
    <row r="78" spans="1:16" ht="12.75" customHeight="1" x14ac:dyDescent="0.2">
      <c r="A78" s="26" t="str">
        <f t="shared" si="12"/>
        <v> BBS 126 </v>
      </c>
      <c r="B78" s="14" t="str">
        <f t="shared" si="13"/>
        <v>I</v>
      </c>
      <c r="C78" s="26">
        <f t="shared" si="14"/>
        <v>52194.3776</v>
      </c>
      <c r="D78" t="str">
        <f t="shared" si="15"/>
        <v>vis</v>
      </c>
      <c r="E78">
        <f>VLOOKUP(C78,Active!C$21:E$970,3,FALSE)</f>
        <v>11339.960832493014</v>
      </c>
      <c r="F78" s="14" t="s">
        <v>97</v>
      </c>
      <c r="G78" t="str">
        <f t="shared" si="16"/>
        <v>52194.3776</v>
      </c>
      <c r="H78" s="26">
        <f t="shared" si="17"/>
        <v>11340</v>
      </c>
      <c r="I78" s="66" t="s">
        <v>377</v>
      </c>
      <c r="J78" s="67" t="s">
        <v>378</v>
      </c>
      <c r="K78" s="66" t="s">
        <v>379</v>
      </c>
      <c r="L78" s="66" t="s">
        <v>380</v>
      </c>
      <c r="M78" s="67" t="s">
        <v>159</v>
      </c>
      <c r="N78" s="67" t="s">
        <v>231</v>
      </c>
      <c r="O78" s="68" t="s">
        <v>381</v>
      </c>
      <c r="P78" s="68" t="s">
        <v>72</v>
      </c>
    </row>
    <row r="79" spans="1:16" ht="12.75" customHeight="1" x14ac:dyDescent="0.2">
      <c r="A79" s="26" t="str">
        <f t="shared" si="12"/>
        <v>VSB 45 </v>
      </c>
      <c r="B79" s="14" t="str">
        <f t="shared" si="13"/>
        <v>I</v>
      </c>
      <c r="C79" s="26">
        <f t="shared" si="14"/>
        <v>53950.175900000002</v>
      </c>
      <c r="D79" t="str">
        <f t="shared" si="15"/>
        <v>vis</v>
      </c>
      <c r="E79">
        <f>VLOOKUP(C79,Active!C$21:E$970,3,FALSE)</f>
        <v>14364.956090319931</v>
      </c>
      <c r="F79" s="14" t="s">
        <v>97</v>
      </c>
      <c r="G79" t="str">
        <f t="shared" si="16"/>
        <v>53950.1759</v>
      </c>
      <c r="H79" s="26">
        <f t="shared" si="17"/>
        <v>14365</v>
      </c>
      <c r="I79" s="66" t="s">
        <v>382</v>
      </c>
      <c r="J79" s="67" t="s">
        <v>383</v>
      </c>
      <c r="K79" s="66" t="s">
        <v>384</v>
      </c>
      <c r="L79" s="66" t="s">
        <v>385</v>
      </c>
      <c r="M79" s="67" t="s">
        <v>159</v>
      </c>
      <c r="N79" s="67" t="s">
        <v>231</v>
      </c>
      <c r="O79" s="68" t="s">
        <v>386</v>
      </c>
      <c r="P79" s="69" t="s">
        <v>79</v>
      </c>
    </row>
    <row r="80" spans="1:16" ht="12.75" customHeight="1" x14ac:dyDescent="0.2">
      <c r="A80" s="26" t="str">
        <f t="shared" si="12"/>
        <v>VSB 45 </v>
      </c>
      <c r="B80" s="14" t="str">
        <f t="shared" si="13"/>
        <v>II</v>
      </c>
      <c r="C80" s="26">
        <f t="shared" si="14"/>
        <v>53984.131800000003</v>
      </c>
      <c r="D80" t="str">
        <f t="shared" si="15"/>
        <v>vis</v>
      </c>
      <c r="E80">
        <f>VLOOKUP(C80,Active!C$21:E$970,3,FALSE)</f>
        <v>14423.457363772153</v>
      </c>
      <c r="F80" s="14" t="s">
        <v>97</v>
      </c>
      <c r="G80" t="str">
        <f t="shared" si="16"/>
        <v>53984.1318</v>
      </c>
      <c r="H80" s="26">
        <f t="shared" si="17"/>
        <v>14423.5</v>
      </c>
      <c r="I80" s="66" t="s">
        <v>387</v>
      </c>
      <c r="J80" s="67" t="s">
        <v>388</v>
      </c>
      <c r="K80" s="66" t="s">
        <v>389</v>
      </c>
      <c r="L80" s="66" t="s">
        <v>390</v>
      </c>
      <c r="M80" s="67" t="s">
        <v>159</v>
      </c>
      <c r="N80" s="67" t="s">
        <v>231</v>
      </c>
      <c r="O80" s="68" t="s">
        <v>386</v>
      </c>
      <c r="P80" s="69" t="s">
        <v>79</v>
      </c>
    </row>
    <row r="81" spans="1:16" ht="12.75" customHeight="1" x14ac:dyDescent="0.2">
      <c r="A81" s="26" t="str">
        <f t="shared" si="12"/>
        <v> JAAVSO 39;102 </v>
      </c>
      <c r="B81" s="14" t="str">
        <f t="shared" si="13"/>
        <v>I</v>
      </c>
      <c r="C81" s="26">
        <f t="shared" si="14"/>
        <v>55070.392999999996</v>
      </c>
      <c r="D81" t="str">
        <f t="shared" si="15"/>
        <v>vis</v>
      </c>
      <c r="E81">
        <f>VLOOKUP(C81,Active!C$21:E$970,3,FALSE)</f>
        <v>16294.93370519551</v>
      </c>
      <c r="F81" s="14" t="s">
        <v>97</v>
      </c>
      <c r="G81" t="str">
        <f t="shared" si="16"/>
        <v>55070.3930</v>
      </c>
      <c r="H81" s="26">
        <f t="shared" si="17"/>
        <v>16295</v>
      </c>
      <c r="I81" s="66" t="s">
        <v>391</v>
      </c>
      <c r="J81" s="67" t="s">
        <v>392</v>
      </c>
      <c r="K81" s="66" t="s">
        <v>393</v>
      </c>
      <c r="L81" s="66" t="s">
        <v>394</v>
      </c>
      <c r="M81" s="67" t="s">
        <v>224</v>
      </c>
      <c r="N81" s="67" t="s">
        <v>160</v>
      </c>
      <c r="O81" s="68" t="s">
        <v>395</v>
      </c>
      <c r="P81" s="68" t="s">
        <v>82</v>
      </c>
    </row>
    <row r="82" spans="1:16" ht="12.75" customHeight="1" x14ac:dyDescent="0.2">
      <c r="A82" s="26" t="str">
        <f t="shared" si="12"/>
        <v> JAAVSO 39;102 </v>
      </c>
      <c r="B82" s="14" t="str">
        <f t="shared" si="13"/>
        <v>I</v>
      </c>
      <c r="C82" s="26">
        <f t="shared" si="14"/>
        <v>55077.365100000003</v>
      </c>
      <c r="D82" t="str">
        <f t="shared" si="15"/>
        <v>vis</v>
      </c>
      <c r="E82">
        <f>VLOOKUP(C82,Active!C$21:E$970,3,FALSE)</f>
        <v>16306.945659778856</v>
      </c>
      <c r="F82" s="14" t="s">
        <v>97</v>
      </c>
      <c r="G82" t="str">
        <f t="shared" si="16"/>
        <v>55077.3651</v>
      </c>
      <c r="H82" s="26">
        <f t="shared" si="17"/>
        <v>16307</v>
      </c>
      <c r="I82" s="66" t="s">
        <v>396</v>
      </c>
      <c r="J82" s="67" t="s">
        <v>397</v>
      </c>
      <c r="K82" s="66" t="s">
        <v>398</v>
      </c>
      <c r="L82" s="66" t="s">
        <v>399</v>
      </c>
      <c r="M82" s="67" t="s">
        <v>224</v>
      </c>
      <c r="N82" s="67" t="s">
        <v>160</v>
      </c>
      <c r="O82" s="68" t="s">
        <v>395</v>
      </c>
      <c r="P82" s="68" t="s">
        <v>82</v>
      </c>
    </row>
  </sheetData>
  <sheetProtection selectLockedCells="1" selectUnlockedCells="1"/>
  <hyperlinks>
    <hyperlink ref="P26" r:id="rId1"/>
    <hyperlink ref="P36" r:id="rId2"/>
    <hyperlink ref="P37" r:id="rId3"/>
    <hyperlink ref="P38" r:id="rId4"/>
    <hyperlink ref="P39" r:id="rId5"/>
    <hyperlink ref="P40" r:id="rId6"/>
    <hyperlink ref="P42" r:id="rId7"/>
    <hyperlink ref="P43" r:id="rId8"/>
    <hyperlink ref="P44" r:id="rId9"/>
    <hyperlink ref="P45" r:id="rId10"/>
    <hyperlink ref="P46" r:id="rId11"/>
    <hyperlink ref="P47" r:id="rId12"/>
    <hyperlink ref="P48" r:id="rId13"/>
    <hyperlink ref="P49" r:id="rId14"/>
    <hyperlink ref="P50" r:id="rId15"/>
    <hyperlink ref="P51" r:id="rId16"/>
    <hyperlink ref="P53" r:id="rId17"/>
    <hyperlink ref="P54" r:id="rId18"/>
    <hyperlink ref="P55" r:id="rId19"/>
    <hyperlink ref="P56" r:id="rId20"/>
    <hyperlink ref="P77" r:id="rId21"/>
    <hyperlink ref="P79" r:id="rId22"/>
    <hyperlink ref="P80" r:id="rId23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2022-03-30T05:38:34Z</dcterms:created>
  <dcterms:modified xsi:type="dcterms:W3CDTF">2023-01-21T04:46:07Z</dcterms:modified>
</cp:coreProperties>
</file>