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0702882-AEE9-4C2C-81C9-27119CE3D1B7}" xr6:coauthVersionLast="47" xr6:coauthVersionMax="47" xr10:uidLastSave="{00000000-0000-0000-0000-000000000000}"/>
  <bookViews>
    <workbookView xWindow="14040" yWindow="108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Q47" i="1"/>
  <c r="D9" i="1"/>
  <c r="C9" i="1"/>
  <c r="Q46" i="1"/>
  <c r="Q43" i="1"/>
  <c r="Q42" i="1"/>
  <c r="Q41" i="1"/>
  <c r="Q40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16" i="2"/>
  <c r="C16" i="2"/>
  <c r="G15" i="2"/>
  <c r="C15" i="2"/>
  <c r="G38" i="2"/>
  <c r="C38" i="2"/>
  <c r="G37" i="2"/>
  <c r="C37" i="2"/>
  <c r="G14" i="2"/>
  <c r="C14" i="2"/>
  <c r="G13" i="2"/>
  <c r="C13" i="2"/>
  <c r="G36" i="2"/>
  <c r="C36" i="2"/>
  <c r="G35" i="2"/>
  <c r="C35" i="2"/>
  <c r="G34" i="2"/>
  <c r="C34" i="2"/>
  <c r="G33" i="2"/>
  <c r="C33" i="2"/>
  <c r="G12" i="2"/>
  <c r="C12" i="2"/>
  <c r="G11" i="2"/>
  <c r="C1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16" i="2"/>
  <c r="B16" i="2"/>
  <c r="D16" i="2"/>
  <c r="A16" i="2"/>
  <c r="H15" i="2"/>
  <c r="D15" i="2"/>
  <c r="B15" i="2"/>
  <c r="A15" i="2"/>
  <c r="H38" i="2"/>
  <c r="B38" i="2"/>
  <c r="D38" i="2"/>
  <c r="A38" i="2"/>
  <c r="H37" i="2"/>
  <c r="D37" i="2"/>
  <c r="B37" i="2"/>
  <c r="A37" i="2"/>
  <c r="H14" i="2"/>
  <c r="B14" i="2"/>
  <c r="D14" i="2"/>
  <c r="A14" i="2"/>
  <c r="H13" i="2"/>
  <c r="D13" i="2"/>
  <c r="B13" i="2"/>
  <c r="A13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12" i="2"/>
  <c r="B12" i="2"/>
  <c r="D12" i="2"/>
  <c r="A12" i="2"/>
  <c r="H11" i="2"/>
  <c r="D11" i="2"/>
  <c r="B11" i="2"/>
  <c r="A11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Q49" i="1"/>
  <c r="F16" i="1"/>
  <c r="F17" i="1" s="1"/>
  <c r="C17" i="1"/>
  <c r="Q48" i="1"/>
  <c r="Q44" i="1"/>
  <c r="Q45" i="1"/>
  <c r="Q38" i="1"/>
  <c r="Q39" i="1"/>
  <c r="C8" i="1"/>
  <c r="C7" i="1"/>
  <c r="E27" i="1"/>
  <c r="F27" i="1"/>
  <c r="Q23" i="1"/>
  <c r="E35" i="2"/>
  <c r="E16" i="2"/>
  <c r="E26" i="2"/>
  <c r="E15" i="2"/>
  <c r="E22" i="2"/>
  <c r="E13" i="2"/>
  <c r="E31" i="2"/>
  <c r="E33" i="2"/>
  <c r="E29" i="2"/>
  <c r="E34" i="2"/>
  <c r="E38" i="2"/>
  <c r="E48" i="1"/>
  <c r="F48" i="1"/>
  <c r="E42" i="1"/>
  <c r="F42" i="1"/>
  <c r="G34" i="1"/>
  <c r="L34" i="1"/>
  <c r="E32" i="1"/>
  <c r="F32" i="1"/>
  <c r="E24" i="1"/>
  <c r="F24" i="1"/>
  <c r="G24" i="1"/>
  <c r="L24" i="1"/>
  <c r="G45" i="1"/>
  <c r="J45" i="1"/>
  <c r="E39" i="1"/>
  <c r="F39" i="1"/>
  <c r="E37" i="1"/>
  <c r="F37" i="1"/>
  <c r="G31" i="1"/>
  <c r="L31" i="1"/>
  <c r="E29" i="1"/>
  <c r="F29" i="1"/>
  <c r="E46" i="1"/>
  <c r="F46" i="1"/>
  <c r="G46" i="1"/>
  <c r="L46" i="1"/>
  <c r="G36" i="1"/>
  <c r="L36" i="1"/>
  <c r="E34" i="1"/>
  <c r="F34" i="1"/>
  <c r="E26" i="1"/>
  <c r="F26" i="1"/>
  <c r="G26" i="1"/>
  <c r="L26" i="1"/>
  <c r="G49" i="1"/>
  <c r="K49" i="1"/>
  <c r="E45" i="1"/>
  <c r="F45" i="1"/>
  <c r="G43" i="1"/>
  <c r="L43" i="1"/>
  <c r="E41" i="1"/>
  <c r="F41" i="1"/>
  <c r="G41" i="1"/>
  <c r="L41" i="1"/>
  <c r="G33" i="1"/>
  <c r="L33" i="1"/>
  <c r="E31" i="1"/>
  <c r="F31" i="1"/>
  <c r="E22" i="1"/>
  <c r="F22" i="1"/>
  <c r="G22" i="1"/>
  <c r="L22" i="1"/>
  <c r="E23" i="1"/>
  <c r="F23" i="1"/>
  <c r="G44" i="1"/>
  <c r="K44" i="1"/>
  <c r="E38" i="1"/>
  <c r="G40" i="1"/>
  <c r="L40" i="1"/>
  <c r="E36" i="1"/>
  <c r="F36" i="1"/>
  <c r="E28" i="1"/>
  <c r="F28" i="1"/>
  <c r="G28" i="1"/>
  <c r="L28" i="1"/>
  <c r="E49" i="1"/>
  <c r="F49" i="1"/>
  <c r="G47" i="1"/>
  <c r="L47" i="1"/>
  <c r="E43" i="1"/>
  <c r="F43" i="1"/>
  <c r="G35" i="1"/>
  <c r="L35" i="1"/>
  <c r="E33" i="1"/>
  <c r="F33" i="1"/>
  <c r="G27" i="1"/>
  <c r="L27" i="1"/>
  <c r="E25" i="1"/>
  <c r="F25" i="1"/>
  <c r="G25" i="1"/>
  <c r="L25" i="1"/>
  <c r="G48" i="1"/>
  <c r="K48" i="1"/>
  <c r="E44" i="1"/>
  <c r="F44" i="1"/>
  <c r="G42" i="1"/>
  <c r="L42" i="1"/>
  <c r="E40" i="1"/>
  <c r="F40" i="1"/>
  <c r="G32" i="1"/>
  <c r="L32" i="1"/>
  <c r="E30" i="1"/>
  <c r="E21" i="1"/>
  <c r="G39" i="1"/>
  <c r="I39" i="1"/>
  <c r="E47" i="1"/>
  <c r="F47" i="1"/>
  <c r="G37" i="1"/>
  <c r="L37" i="1"/>
  <c r="E35" i="1"/>
  <c r="F35" i="1"/>
  <c r="G29" i="1"/>
  <c r="L29" i="1"/>
  <c r="F21" i="1"/>
  <c r="G21" i="1"/>
  <c r="L21" i="1"/>
  <c r="E17" i="2"/>
  <c r="E24" i="2"/>
  <c r="E14" i="2"/>
  <c r="E20" i="2"/>
  <c r="E30" i="2"/>
  <c r="F30" i="1"/>
  <c r="G30" i="1"/>
  <c r="L30" i="1"/>
  <c r="E25" i="2"/>
  <c r="E18" i="2"/>
  <c r="E23" i="2"/>
  <c r="F38" i="1"/>
  <c r="G38" i="1"/>
  <c r="E11" i="2"/>
  <c r="E28" i="2"/>
  <c r="E12" i="2"/>
  <c r="E32" i="2"/>
  <c r="E19" i="2"/>
  <c r="E36" i="2"/>
  <c r="E37" i="2"/>
  <c r="E27" i="2"/>
  <c r="E21" i="2"/>
  <c r="I38" i="1"/>
  <c r="C11" i="1"/>
  <c r="C12" i="1"/>
  <c r="O50" i="1" l="1"/>
  <c r="C16" i="1"/>
  <c r="D18" i="1" s="1"/>
  <c r="O47" i="1"/>
  <c r="O43" i="1"/>
  <c r="O42" i="1"/>
  <c r="C15" i="1"/>
  <c r="O45" i="1"/>
  <c r="O46" i="1"/>
  <c r="O49" i="1"/>
  <c r="O48" i="1"/>
  <c r="O40" i="1"/>
  <c r="O41" i="1"/>
  <c r="O44" i="1"/>
  <c r="O38" i="1"/>
  <c r="O39" i="1"/>
  <c r="C18" i="1" l="1"/>
  <c r="F18" i="1"/>
  <c r="F19" i="1" s="1"/>
</calcChain>
</file>

<file path=xl/sharedStrings.xml><?xml version="1.0" encoding="utf-8"?>
<sst xmlns="http://schemas.openxmlformats.org/spreadsheetml/2006/main" count="323" uniqueCount="186">
  <si>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</si>
  <si>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</si>
  <si>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</si>
  <si>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</si>
  <si>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</si>
  <si>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</si>
  <si>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</si>
  <si>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</si>
  <si>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</si>
  <si>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</si>
  <si>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</si>
  <si>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</si>
  <si>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</si>
  <si>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</si>
  <si>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</si>
  <si>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</si>
  <si>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</si>
  <si>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</si>
  <si>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</si>
  <si>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</si>
  <si>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</si>
  <si>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</si>
  <si>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</si>
  <si>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</si>
  <si>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</si>
  <si>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</si>
  <si>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</si>
  <si>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</si>
  <si>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</si>
  <si>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</si>
  <si>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</si>
  <si>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Vandenbroere J</t>
  </si>
  <si>
    <t>BBSAG Bull.99</t>
  </si>
  <si>
    <t>BBSAG</t>
  </si>
  <si>
    <t># of data points:</t>
  </si>
  <si>
    <t>EA/D:</t>
  </si>
  <si>
    <t>DM Peg / GSC 01181-00740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</si>
  <si>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</si>
  <si>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</si>
  <si>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</si>
  <si>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</si>
  <si>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</si>
  <si>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</si>
  <si>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</si>
  <si>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</si>
  <si>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</t>
  </si>
  <si>
    <t>IBVS 6042</t>
  </si>
  <si>
    <t>IBVS 5820</t>
  </si>
  <si>
    <t>Add cycle</t>
  </si>
  <si>
    <t>Old Cycle</t>
  </si>
  <si>
    <t>Start of linear fit &gt;&gt;&gt;&gt;&gt;&gt;&gt;&gt;&gt;&gt;&gt;&gt;&gt;&gt;&gt;&gt;&gt;&gt;&gt;&gt;&gt;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</si>
  <si>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</si>
  <si>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</si>
  <si>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</si>
  <si>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</si>
  <si>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</si>
  <si>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</si>
  <si>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</si>
  <si>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</si>
  <si>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</si>
  <si>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</si>
  <si>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</si>
  <si>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</si>
  <si>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2425853.423 </t>
  </si>
  <si>
    <t> 29.08.1929 22:09 </t>
  </si>
  <si>
    <t> -0.047 </t>
  </si>
  <si>
    <t>P </t>
  </si>
  <si>
    <t> A.Jensch </t>
  </si>
  <si>
    <t> AN 252.396 </t>
  </si>
  <si>
    <t>2425853.450 </t>
  </si>
  <si>
    <t> 29.08.1929 22:48 </t>
  </si>
  <si>
    <t> -0.020 </t>
  </si>
  <si>
    <t>2425866.423 </t>
  </si>
  <si>
    <t> 11.09.1929 22:09 </t>
  </si>
  <si>
    <t> 0.008 </t>
  </si>
  <si>
    <t>2426213.435 </t>
  </si>
  <si>
    <t> 24.08.1930 22:26 </t>
  </si>
  <si>
    <t> 0.095 </t>
  </si>
  <si>
    <t>2426218.557 </t>
  </si>
  <si>
    <t> 30.08.1930 01:22 </t>
  </si>
  <si>
    <t> 0.039 </t>
  </si>
  <si>
    <t>2426244.402 </t>
  </si>
  <si>
    <t> 24.09.1930 21:38 </t>
  </si>
  <si>
    <t> -0.006 </t>
  </si>
  <si>
    <t>2426627.568 </t>
  </si>
  <si>
    <t> 13.10.1931 01:37 </t>
  </si>
  <si>
    <t> -0.010 </t>
  </si>
  <si>
    <t>2426987.393 </t>
  </si>
  <si>
    <t> 06.10.1932 21:25 </t>
  </si>
  <si>
    <t> -0.055 </t>
  </si>
  <si>
    <t>2426987.396 </t>
  </si>
  <si>
    <t> 06.10.1932 21:30 </t>
  </si>
  <si>
    <t> -0.052 </t>
  </si>
  <si>
    <t>2427013.375 </t>
  </si>
  <si>
    <t> 01.11.1932 21:00 </t>
  </si>
  <si>
    <t> 0.037 </t>
  </si>
  <si>
    <t>2427039.282 </t>
  </si>
  <si>
    <t> 27.11.1932 18:46 </t>
  </si>
  <si>
    <t> 0.054 </t>
  </si>
  <si>
    <t>2427096.295 </t>
  </si>
  <si>
    <t> 23.01.1933 19:04 </t>
  </si>
  <si>
    <t> 0.109 </t>
  </si>
  <si>
    <t>2427417.302 </t>
  </si>
  <si>
    <t> 10.12.1933 19:14 </t>
  </si>
  <si>
    <t> 0.081 </t>
  </si>
  <si>
    <t>2427448.247 </t>
  </si>
  <si>
    <t> 10.01.1934 17:55 </t>
  </si>
  <si>
    <t> -0.041 </t>
  </si>
  <si>
    <t>2429320.129 </t>
  </si>
  <si>
    <t> 25.02.1939 15:05 </t>
  </si>
  <si>
    <t> 0.000 </t>
  </si>
  <si>
    <t>V </t>
  </si>
  <si>
    <t> A.Soloviev </t>
  </si>
  <si>
    <t> PZ 8.54 </t>
  </si>
  <si>
    <t>2431347.309 </t>
  </si>
  <si>
    <t> 13.09.1944 19:24 </t>
  </si>
  <si>
    <t> W.Zessewitsch </t>
  </si>
  <si>
    <t> IODE 4.2.292 </t>
  </si>
  <si>
    <t>2447153.23 </t>
  </si>
  <si>
    <t> 23.12.1987 17:31 </t>
  </si>
  <si>
    <t> 0.13 </t>
  </si>
  <si>
    <t> A.Paschke </t>
  </si>
  <si>
    <t> BBS 86 </t>
  </si>
  <si>
    <t>2448556.436 </t>
  </si>
  <si>
    <t> 26.10.1991 22:27 </t>
  </si>
  <si>
    <t> 0.104 </t>
  </si>
  <si>
    <t> J.Vandenbroere </t>
  </si>
  <si>
    <t> BBS 99 </t>
  </si>
  <si>
    <t>2451018.547 </t>
  </si>
  <si>
    <t> 24.07.1998 01:07 </t>
  </si>
  <si>
    <t> 0.084 </t>
  </si>
  <si>
    <t> BBS 119 </t>
  </si>
  <si>
    <t>2451549.3301 </t>
  </si>
  <si>
    <t> 05.01.2000 19:55 </t>
  </si>
  <si>
    <t> 0.1244 </t>
  </si>
  <si>
    <t>E </t>
  </si>
  <si>
    <t>?</t>
  </si>
  <si>
    <t> R.Diethelm </t>
  </si>
  <si>
    <t> BBS 122 </t>
  </si>
  <si>
    <t>2451769.372 </t>
  </si>
  <si>
    <t> 12.08.2000 20:55 </t>
  </si>
  <si>
    <t> 0.102 </t>
  </si>
  <si>
    <t> BBS 123 </t>
  </si>
  <si>
    <t>2452877.455 </t>
  </si>
  <si>
    <t> 25.08.2003 22:55 </t>
  </si>
  <si>
    <t> 0.097 </t>
  </si>
  <si>
    <t> R.Meyer </t>
  </si>
  <si>
    <t>BAVM 171 </t>
  </si>
  <si>
    <t>2454024.3808 </t>
  </si>
  <si>
    <t> 15.10.2006 21:08 </t>
  </si>
  <si>
    <t> 0.0997 </t>
  </si>
  <si>
    <t>C </t>
  </si>
  <si>
    <t>-I</t>
  </si>
  <si>
    <t> F. Agerer </t>
  </si>
  <si>
    <t>BAVM 183 </t>
  </si>
  <si>
    <t>2454355.766 </t>
  </si>
  <si>
    <t> 12.09.2007 06:23 </t>
  </si>
  <si>
    <t>11009</t>
  </si>
  <si>
    <t> 0.094 </t>
  </si>
  <si>
    <t>R</t>
  </si>
  <si>
    <t> R.Nelson </t>
  </si>
  <si>
    <t>IBVS 5820 </t>
  </si>
  <si>
    <t>2455154.4139 </t>
  </si>
  <si>
    <t> 18.11.2009 21:56 </t>
  </si>
  <si>
    <t>11317.5</t>
  </si>
  <si>
    <t> 0.0383 </t>
  </si>
  <si>
    <t> P.Frank </t>
  </si>
  <si>
    <t>BAVM 212 </t>
  </si>
  <si>
    <t>2455857.3615 </t>
  </si>
  <si>
    <t> 22.10.2011 20:40 </t>
  </si>
  <si>
    <t>11589</t>
  </si>
  <si>
    <t> 0.0748 </t>
  </si>
  <si>
    <t> F.Agerer </t>
  </si>
  <si>
    <t>BAVM 225 </t>
  </si>
  <si>
    <t>2456245.7068 </t>
  </si>
  <si>
    <t> 14.11.2012 04:57 </t>
  </si>
  <si>
    <t>11739</t>
  </si>
  <si>
    <t> 0.0715 </t>
  </si>
  <si>
    <t>IBVS 6042 </t>
  </si>
  <si>
    <t>2456934.3735 </t>
  </si>
  <si>
    <t> 03.10.2014 20:57 </t>
  </si>
  <si>
    <t>12005</t>
  </si>
  <si>
    <t> 0.0665 </t>
  </si>
  <si>
    <t>BAVM 239 </t>
  </si>
  <si>
    <t>II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</si>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</sst>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Peg - O-C Diagr.</a:t>
            </a:r>
          </a:p>
        </c:rich>
      </c:tx>
      <c:layout>
        <c:manualLayout>
          <c:xMode val="edge"/>
          <c:yMode val="edge"/>
          <c:x val="0.379257290981042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7100196748771"/>
          <c:y val="0.14769252958613219"/>
          <c:w val="0.8142421015157138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F6-4187-80FA-1E7914AC26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0.13104300000122748</c:v>
                </c:pt>
                <c:pt idx="18">
                  <c:v>0.10392100000171922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F6-4187-80FA-1E7914AC26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4">
                  <c:v>9.4081000002915971E-2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F6-4187-80FA-1E7914AC26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9.972899999411311E-2</c:v>
                </c:pt>
                <c:pt idx="27">
                  <c:v>7.1450999996159226E-2</c:v>
                </c:pt>
                <c:pt idx="28">
                  <c:v>6.6545000001497101E-2</c:v>
                </c:pt>
                <c:pt idx="29">
                  <c:v>1.6946999996434897E-2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F6-4187-80FA-1E7914AC26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-4.7000000002299203E-2</c:v>
                </c:pt>
                <c:pt idx="1">
                  <c:v>-2.0000000000436557E-2</c:v>
                </c:pt>
                <c:pt idx="3">
                  <c:v>8.0449999986740295E-3</c:v>
                </c:pt>
                <c:pt idx="4">
                  <c:v>9.5250999998825137E-2</c:v>
                </c:pt>
                <c:pt idx="5">
                  <c:v>3.9269000000786036E-2</c:v>
                </c:pt>
                <c:pt idx="6">
                  <c:v>-5.641000003379304E-3</c:v>
                </c:pt>
                <c:pt idx="7">
                  <c:v>-1.0309000001143431E-2</c:v>
                </c:pt>
                <c:pt idx="8">
                  <c:v>-5.5058000001736218E-2</c:v>
                </c:pt>
                <c:pt idx="9">
                  <c:v>-5.2058000001125038E-2</c:v>
                </c:pt>
                <c:pt idx="10">
                  <c:v>3.7032000000181142E-2</c:v>
                </c:pt>
                <c:pt idx="11">
                  <c:v>5.4121999997732928E-2</c:v>
                </c:pt>
                <c:pt idx="12">
                  <c:v>0.10931999999593245</c:v>
                </c:pt>
                <c:pt idx="13">
                  <c:v>8.1435999996756436E-2</c:v>
                </c:pt>
                <c:pt idx="14">
                  <c:v>-4.1456000002654037E-2</c:v>
                </c:pt>
                <c:pt idx="15">
                  <c:v>5.0999999075429514E-5</c:v>
                </c:pt>
                <c:pt idx="16">
                  <c:v>9.8000000434694812E-5</c:v>
                </c:pt>
                <c:pt idx="19">
                  <c:v>8.4479999997711275E-2</c:v>
                </c:pt>
                <c:pt idx="20">
                  <c:v>0.12442499999451684</c:v>
                </c:pt>
                <c:pt idx="21">
                  <c:v>0.10209000000031665</c:v>
                </c:pt>
                <c:pt idx="22">
                  <c:v>9.6942000003764406E-2</c:v>
                </c:pt>
                <c:pt idx="25">
                  <c:v>3.8257499996689148E-2</c:v>
                </c:pt>
                <c:pt idx="26">
                  <c:v>7.480099999520462E-2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F6-4187-80FA-1E7914AC26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F6-4187-80FA-1E7914AC26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F6-4187-80FA-1E7914AC26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7">
                  <c:v>0.13332441772986001</c:v>
                </c:pt>
                <c:pt idx="18">
                  <c:v>0.12256530422183912</c:v>
                </c:pt>
                <c:pt idx="19">
                  <c:v>0.10368722867547772</c:v>
                </c:pt>
                <c:pt idx="20">
                  <c:v>9.9617822274842532E-2</c:v>
                </c:pt>
                <c:pt idx="21">
                  <c:v>9.7930507425798674E-2</c:v>
                </c:pt>
                <c:pt idx="22">
                  <c:v>8.9434380891789539E-2</c:v>
                </c:pt>
                <c:pt idx="23">
                  <c:v>8.0640492913831519E-2</c:v>
                </c:pt>
                <c:pt idx="24">
                  <c:v>7.8099595258800752E-2</c:v>
                </c:pt>
                <c:pt idx="25">
                  <c:v>7.1975634894918011E-2</c:v>
                </c:pt>
                <c:pt idx="26">
                  <c:v>6.6586152759442602E-2</c:v>
                </c:pt>
                <c:pt idx="27">
                  <c:v>6.3608538319953417E-2</c:v>
                </c:pt>
                <c:pt idx="28">
                  <c:v>5.8328235380592619E-2</c:v>
                </c:pt>
                <c:pt idx="29">
                  <c:v>3.8914189235123187E-2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F6-4187-80FA-1E7914AC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1960"/>
        <c:axId val="1"/>
      </c:scatterChart>
      <c:valAx>
        <c:axId val="7501119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681268943549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835913312693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7880028928272"/>
          <c:y val="0.92000129214617399"/>
          <c:w val="0.7616105571942826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Peg - O-C Diagr.</a:t>
            </a:r>
          </a:p>
        </c:rich>
      </c:tx>
      <c:layout>
        <c:manualLayout>
          <c:xMode val="edge"/>
          <c:yMode val="edge"/>
          <c:x val="0.38021638330757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723926380368099"/>
          <c:w val="0.816074188562596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3-423B-9280-C84D04FC5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0.13104300000122748</c:v>
                </c:pt>
                <c:pt idx="18">
                  <c:v>0.10392100000171922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3-423B-9280-C84D04FC5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4">
                  <c:v>9.4081000002915971E-2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B3-423B-9280-C84D04FC5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9.972899999411311E-2</c:v>
                </c:pt>
                <c:pt idx="27">
                  <c:v>7.1450999996159226E-2</c:v>
                </c:pt>
                <c:pt idx="28">
                  <c:v>6.6545000001497101E-2</c:v>
                </c:pt>
                <c:pt idx="29">
                  <c:v>1.6946999996434897E-2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B3-423B-9280-C84D04FC5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-4.7000000002299203E-2</c:v>
                </c:pt>
                <c:pt idx="1">
                  <c:v>-2.0000000000436557E-2</c:v>
                </c:pt>
                <c:pt idx="3">
                  <c:v>8.0449999986740295E-3</c:v>
                </c:pt>
                <c:pt idx="4">
                  <c:v>9.5250999998825137E-2</c:v>
                </c:pt>
                <c:pt idx="5">
                  <c:v>3.9269000000786036E-2</c:v>
                </c:pt>
                <c:pt idx="6">
                  <c:v>-5.641000003379304E-3</c:v>
                </c:pt>
                <c:pt idx="7">
                  <c:v>-1.0309000001143431E-2</c:v>
                </c:pt>
                <c:pt idx="8">
                  <c:v>-5.5058000001736218E-2</c:v>
                </c:pt>
                <c:pt idx="9">
                  <c:v>-5.2058000001125038E-2</c:v>
                </c:pt>
                <c:pt idx="10">
                  <c:v>3.7032000000181142E-2</c:v>
                </c:pt>
                <c:pt idx="11">
                  <c:v>5.4121999997732928E-2</c:v>
                </c:pt>
                <c:pt idx="12">
                  <c:v>0.10931999999593245</c:v>
                </c:pt>
                <c:pt idx="13">
                  <c:v>8.1435999996756436E-2</c:v>
                </c:pt>
                <c:pt idx="14">
                  <c:v>-4.1456000002654037E-2</c:v>
                </c:pt>
                <c:pt idx="15">
                  <c:v>5.0999999075429514E-5</c:v>
                </c:pt>
                <c:pt idx="16">
                  <c:v>9.8000000434694812E-5</c:v>
                </c:pt>
                <c:pt idx="19">
                  <c:v>8.4479999997711275E-2</c:v>
                </c:pt>
                <c:pt idx="20">
                  <c:v>0.12442499999451684</c:v>
                </c:pt>
                <c:pt idx="21">
                  <c:v>0.10209000000031665</c:v>
                </c:pt>
                <c:pt idx="22">
                  <c:v>9.6942000003764406E-2</c:v>
                </c:pt>
                <c:pt idx="25">
                  <c:v>3.8257499996689148E-2</c:v>
                </c:pt>
                <c:pt idx="26">
                  <c:v>7.480099999520462E-2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B3-423B-9280-C84D04FC5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B3-423B-9280-C84D04FC5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B3-423B-9280-C84D04FC5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7">
                  <c:v>0.13332441772986001</c:v>
                </c:pt>
                <c:pt idx="18">
                  <c:v>0.12256530422183912</c:v>
                </c:pt>
                <c:pt idx="19">
                  <c:v>0.10368722867547772</c:v>
                </c:pt>
                <c:pt idx="20">
                  <c:v>9.9617822274842532E-2</c:v>
                </c:pt>
                <c:pt idx="21">
                  <c:v>9.7930507425798674E-2</c:v>
                </c:pt>
                <c:pt idx="22">
                  <c:v>8.9434380891789539E-2</c:v>
                </c:pt>
                <c:pt idx="23">
                  <c:v>8.0640492913831519E-2</c:v>
                </c:pt>
                <c:pt idx="24">
                  <c:v>7.8099595258800752E-2</c:v>
                </c:pt>
                <c:pt idx="25">
                  <c:v>7.1975634894918011E-2</c:v>
                </c:pt>
                <c:pt idx="26">
                  <c:v>6.6586152759442602E-2</c:v>
                </c:pt>
                <c:pt idx="27">
                  <c:v>6.3608538319953417E-2</c:v>
                </c:pt>
                <c:pt idx="28">
                  <c:v>5.8328235380592619E-2</c:v>
                </c:pt>
                <c:pt idx="29">
                  <c:v>3.8914189235123187E-2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B3-423B-9280-C84D04FC5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6224"/>
        <c:axId val="1"/>
      </c:scatterChart>
      <c:valAx>
        <c:axId val="75011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01545595054096"/>
          <c:y val="0.92024539877300615"/>
          <c:w val="0.760432766615146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628650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6E44B2E-16F4-2A9B-FF17-3ACAA300E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200025</xdr:colOff>
      <xdr:row>0</xdr:row>
      <xdr:rowOff>0</xdr:rowOff>
    </xdr:from>
    <xdr:to>
      <xdr:col>27</xdr:col>
      <xdr:colOff>190500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0CE16E0-35DB-B12C-13F1-31871738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20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71" TargetMode="External"/><Relationship Id="rId6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10" t="s">
        <v>35</v>
      </c>
    </row>
    <row r="4" spans="1:6" ht="14.25" thickTop="1" thickBot="1" x14ac:dyDescent="0.25">
      <c r="A4" s="6" t="s">
        <v>0</v>
      </c>
      <c r="C4" s="3">
        <v>25853.47</v>
      </c>
      <c r="D4" s="4">
        <v>2.588991</v>
      </c>
    </row>
    <row r="5" spans="1:6" ht="13.5" thickTop="1" x14ac:dyDescent="0.2">
      <c r="A5" s="13" t="s">
        <v>38</v>
      </c>
      <c r="B5" s="14"/>
      <c r="C5" s="15">
        <v>-9.5</v>
      </c>
      <c r="D5" s="14" t="s">
        <v>39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25853.47</v>
      </c>
    </row>
    <row r="8" spans="1:6" x14ac:dyDescent="0.2">
      <c r="A8" t="s">
        <v>3</v>
      </c>
      <c r="C8">
        <f>+D4</f>
        <v>2.588991</v>
      </c>
    </row>
    <row r="9" spans="1:6" x14ac:dyDescent="0.2">
      <c r="A9" s="33" t="s">
        <v>50</v>
      </c>
      <c r="B9" s="34">
        <v>38</v>
      </c>
      <c r="C9" s="32" t="str">
        <f>"F"&amp;B9</f>
        <v>F38</v>
      </c>
      <c r="D9" s="11" t="str">
        <f>"G"&amp;B9</f>
        <v>G38</v>
      </c>
    </row>
    <row r="10" spans="1:6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6" x14ac:dyDescent="0.2">
      <c r="A11" s="14" t="s">
        <v>16</v>
      </c>
      <c r="B11" s="14"/>
      <c r="C11" s="31">
        <f ca="1">INTERCEPT(INDIRECT($D$9):G992,INDIRECT($C$9):F992)</f>
        <v>0.29663664435437637</v>
      </c>
      <c r="D11" s="16"/>
      <c r="E11" s="14"/>
    </row>
    <row r="12" spans="1:6" x14ac:dyDescent="0.2">
      <c r="A12" s="14" t="s">
        <v>17</v>
      </c>
      <c r="B12" s="14"/>
      <c r="C12" s="31">
        <f ca="1">SLOPE(INDIRECT($D$9):G992,INDIRECT($C$9):F992)</f>
        <v>-1.9850762929927843E-5</v>
      </c>
      <c r="D12" s="16"/>
      <c r="E12" s="14"/>
    </row>
    <row r="13" spans="1:6" x14ac:dyDescent="0.2">
      <c r="A13" s="14" t="s">
        <v>19</v>
      </c>
      <c r="B13" s="14"/>
      <c r="C13" s="16" t="s">
        <v>14</v>
      </c>
    </row>
    <row r="14" spans="1:6" x14ac:dyDescent="0.2">
      <c r="A14" s="14"/>
      <c r="B14" s="14"/>
      <c r="C14" s="14"/>
    </row>
    <row r="15" spans="1:6" x14ac:dyDescent="0.2">
      <c r="A15" s="17" t="s">
        <v>18</v>
      </c>
      <c r="B15" s="14"/>
      <c r="C15" s="18">
        <f ca="1">(C7+C11)+(C8+C12)*INT(MAX(F21:F3533))</f>
        <v>59466.379067189235</v>
      </c>
      <c r="E15" s="19" t="s">
        <v>48</v>
      </c>
      <c r="F15" s="15">
        <v>1</v>
      </c>
    </row>
    <row r="16" spans="1:6" x14ac:dyDescent="0.2">
      <c r="A16" s="21" t="s">
        <v>4</v>
      </c>
      <c r="B16" s="14"/>
      <c r="C16" s="22">
        <f ca="1">+C8+C12</f>
        <v>2.5889711492370702</v>
      </c>
      <c r="E16" s="19" t="s">
        <v>40</v>
      </c>
      <c r="F16" s="20">
        <f ca="1">NOW()+15018.5+$C$5/24</f>
        <v>59965.755024652775</v>
      </c>
    </row>
    <row r="17" spans="1:17" ht="13.5" thickBot="1" x14ac:dyDescent="0.25">
      <c r="A17" s="19" t="s">
        <v>34</v>
      </c>
      <c r="B17" s="14"/>
      <c r="C17" s="14">
        <f>COUNT(C21:C2191)</f>
        <v>30</v>
      </c>
      <c r="E17" s="19" t="s">
        <v>49</v>
      </c>
      <c r="F17" s="20">
        <f ca="1">ROUND(2*(F16-$C$7)/$C$8,0)/2+F15</f>
        <v>13177</v>
      </c>
    </row>
    <row r="18" spans="1:17" ht="14.25" thickTop="1" thickBot="1" x14ac:dyDescent="0.25">
      <c r="A18" s="21" t="s">
        <v>5</v>
      </c>
      <c r="B18" s="14"/>
      <c r="C18" s="24">
        <f ca="1">+C15</f>
        <v>59466.379067189235</v>
      </c>
      <c r="D18" s="25">
        <f ca="1">+C16</f>
        <v>2.5889711492370702</v>
      </c>
      <c r="E18" s="19" t="s">
        <v>41</v>
      </c>
      <c r="F18" s="11">
        <f ca="1">ROUND(2*(F16-$C$15)/$C$16,0)/2+F15</f>
        <v>194</v>
      </c>
    </row>
    <row r="19" spans="1:17" ht="13.5" thickTop="1" x14ac:dyDescent="0.2">
      <c r="E19" s="19" t="s">
        <v>42</v>
      </c>
      <c r="F19" s="23">
        <f ca="1">+$C$15+$C$16*F18-15018.5-$C$5/24</f>
        <v>44950.535303474564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33</v>
      </c>
      <c r="J20" s="8" t="s">
        <v>37</v>
      </c>
      <c r="K20" s="8" t="s">
        <v>45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0" t="s">
        <v>68</v>
      </c>
      <c r="B21" s="52" t="s">
        <v>44</v>
      </c>
      <c r="C21" s="51">
        <v>25853.422999999999</v>
      </c>
      <c r="D21" s="12"/>
      <c r="E21">
        <f t="shared" ref="E21:E49" si="0">+(C21-C$7)/C$8</f>
        <v>-1.8153790415763978E-2</v>
      </c>
      <c r="F21">
        <f t="shared" ref="F21:F49" si="1">ROUND(2*E21,0)/2</f>
        <v>0</v>
      </c>
      <c r="G21">
        <f>+C21-(C$7+F21*C$8)</f>
        <v>-4.7000000002299203E-2</v>
      </c>
      <c r="L21">
        <f>+G21</f>
        <v>-4.7000000002299203E-2</v>
      </c>
      <c r="Q21" s="2">
        <f t="shared" ref="Q21:Q49" si="2">+C21-15018.5</f>
        <v>10834.922999999999</v>
      </c>
    </row>
    <row r="22" spans="1:17" x14ac:dyDescent="0.2">
      <c r="A22" s="50" t="s">
        <v>68</v>
      </c>
      <c r="B22" s="52" t="s">
        <v>44</v>
      </c>
      <c r="C22" s="51">
        <v>25853.45</v>
      </c>
      <c r="D22" s="12"/>
      <c r="E22">
        <f t="shared" si="0"/>
        <v>-7.7250171979881569E-3</v>
      </c>
      <c r="F22">
        <f t="shared" si="1"/>
        <v>0</v>
      </c>
      <c r="G22">
        <f>+C22-(C$7+F22*C$8)</f>
        <v>-2.0000000000436557E-2</v>
      </c>
      <c r="L22">
        <f>+G22</f>
        <v>-2.0000000000436557E-2</v>
      </c>
      <c r="Q22" s="2">
        <f t="shared" si="2"/>
        <v>10834.95</v>
      </c>
    </row>
    <row r="23" spans="1:17" x14ac:dyDescent="0.2">
      <c r="A23" t="s">
        <v>12</v>
      </c>
      <c r="C23" s="12">
        <v>25853.47</v>
      </c>
      <c r="D23" s="12" t="s">
        <v>14</v>
      </c>
      <c r="E23">
        <f t="shared" si="0"/>
        <v>0</v>
      </c>
      <c r="F23">
        <f t="shared" si="1"/>
        <v>0</v>
      </c>
      <c r="H23" s="11">
        <v>0</v>
      </c>
      <c r="Q23" s="2">
        <f t="shared" si="2"/>
        <v>10834.970000000001</v>
      </c>
    </row>
    <row r="24" spans="1:17" x14ac:dyDescent="0.2">
      <c r="A24" s="50" t="s">
        <v>68</v>
      </c>
      <c r="B24" s="52" t="s">
        <v>44</v>
      </c>
      <c r="C24" s="51">
        <v>25866.422999999999</v>
      </c>
      <c r="D24" s="9"/>
      <c r="E24">
        <f t="shared" si="0"/>
        <v>5.003107388166935</v>
      </c>
      <c r="F24">
        <f t="shared" si="1"/>
        <v>5</v>
      </c>
      <c r="G24">
        <f t="shared" ref="G24:G49" si="3">+C24-(C$7+F24*C$8)</f>
        <v>8.0449999986740295E-3</v>
      </c>
      <c r="L24">
        <f t="shared" ref="L24:L37" si="4">+G24</f>
        <v>8.0449999986740295E-3</v>
      </c>
      <c r="Q24" s="2">
        <f t="shared" si="2"/>
        <v>10847.922999999999</v>
      </c>
    </row>
    <row r="25" spans="1:17" x14ac:dyDescent="0.2">
      <c r="A25" s="50" t="s">
        <v>68</v>
      </c>
      <c r="B25" s="52" t="s">
        <v>44</v>
      </c>
      <c r="C25" s="51">
        <v>26213.435000000001</v>
      </c>
      <c r="D25" s="9"/>
      <c r="E25">
        <f t="shared" si="0"/>
        <v>139.03679078065554</v>
      </c>
      <c r="F25">
        <f t="shared" si="1"/>
        <v>139</v>
      </c>
      <c r="G25">
        <f t="shared" si="3"/>
        <v>9.5250999998825137E-2</v>
      </c>
      <c r="L25">
        <f t="shared" si="4"/>
        <v>9.5250999998825137E-2</v>
      </c>
      <c r="Q25" s="2">
        <f t="shared" si="2"/>
        <v>11194.935000000001</v>
      </c>
    </row>
    <row r="26" spans="1:17" x14ac:dyDescent="0.2">
      <c r="A26" s="50" t="s">
        <v>68</v>
      </c>
      <c r="B26" s="52" t="s">
        <v>44</v>
      </c>
      <c r="C26" s="51">
        <v>26218.557000000001</v>
      </c>
      <c r="D26" s="9"/>
      <c r="E26">
        <f t="shared" si="0"/>
        <v>141.01516768501688</v>
      </c>
      <c r="F26">
        <f t="shared" si="1"/>
        <v>141</v>
      </c>
      <c r="G26">
        <f t="shared" si="3"/>
        <v>3.9269000000786036E-2</v>
      </c>
      <c r="L26">
        <f t="shared" si="4"/>
        <v>3.9269000000786036E-2</v>
      </c>
      <c r="Q26" s="2">
        <f t="shared" si="2"/>
        <v>11200.057000000001</v>
      </c>
    </row>
    <row r="27" spans="1:17" x14ac:dyDescent="0.2">
      <c r="A27" s="50" t="s">
        <v>68</v>
      </c>
      <c r="B27" s="52" t="s">
        <v>44</v>
      </c>
      <c r="C27" s="51">
        <v>26244.401999999998</v>
      </c>
      <c r="D27" s="9"/>
      <c r="E27">
        <f t="shared" si="0"/>
        <v>150.9978211588982</v>
      </c>
      <c r="F27">
        <f t="shared" si="1"/>
        <v>151</v>
      </c>
      <c r="G27">
        <f t="shared" si="3"/>
        <v>-5.641000003379304E-3</v>
      </c>
      <c r="L27">
        <f t="shared" si="4"/>
        <v>-5.641000003379304E-3</v>
      </c>
      <c r="Q27" s="2">
        <f t="shared" si="2"/>
        <v>11225.901999999998</v>
      </c>
    </row>
    <row r="28" spans="1:17" x14ac:dyDescent="0.2">
      <c r="A28" s="50" t="s">
        <v>68</v>
      </c>
      <c r="B28" s="52" t="s">
        <v>44</v>
      </c>
      <c r="C28" s="51">
        <v>26627.567999999999</v>
      </c>
      <c r="D28" s="9"/>
      <c r="E28">
        <f t="shared" si="0"/>
        <v>298.99601813988465</v>
      </c>
      <c r="F28">
        <f t="shared" si="1"/>
        <v>299</v>
      </c>
      <c r="G28">
        <f t="shared" si="3"/>
        <v>-1.0309000001143431E-2</v>
      </c>
      <c r="L28">
        <f t="shared" si="4"/>
        <v>-1.0309000001143431E-2</v>
      </c>
      <c r="Q28" s="2">
        <f t="shared" si="2"/>
        <v>11609.067999999999</v>
      </c>
    </row>
    <row r="29" spans="1:17" x14ac:dyDescent="0.2">
      <c r="A29" s="50" t="s">
        <v>68</v>
      </c>
      <c r="B29" s="52" t="s">
        <v>44</v>
      </c>
      <c r="C29" s="51">
        <v>26987.393</v>
      </c>
      <c r="D29" s="9"/>
      <c r="E29">
        <f t="shared" si="0"/>
        <v>437.97873380015568</v>
      </c>
      <c r="F29">
        <f t="shared" si="1"/>
        <v>438</v>
      </c>
      <c r="G29">
        <f t="shared" si="3"/>
        <v>-5.5058000001736218E-2</v>
      </c>
      <c r="L29">
        <f t="shared" si="4"/>
        <v>-5.5058000001736218E-2</v>
      </c>
      <c r="Q29" s="2">
        <f t="shared" si="2"/>
        <v>11968.893</v>
      </c>
    </row>
    <row r="30" spans="1:17" x14ac:dyDescent="0.2">
      <c r="A30" s="50" t="s">
        <v>68</v>
      </c>
      <c r="B30" s="52" t="s">
        <v>44</v>
      </c>
      <c r="C30" s="51">
        <v>26987.396000000001</v>
      </c>
      <c r="D30" s="9"/>
      <c r="E30">
        <f t="shared" si="0"/>
        <v>437.97989255273558</v>
      </c>
      <c r="F30">
        <f t="shared" si="1"/>
        <v>438</v>
      </c>
      <c r="G30">
        <f t="shared" si="3"/>
        <v>-5.2058000001125038E-2</v>
      </c>
      <c r="L30">
        <f t="shared" si="4"/>
        <v>-5.2058000001125038E-2</v>
      </c>
      <c r="Q30" s="2">
        <f t="shared" si="2"/>
        <v>11968.896000000001</v>
      </c>
    </row>
    <row r="31" spans="1:17" x14ac:dyDescent="0.2">
      <c r="A31" s="50" t="s">
        <v>68</v>
      </c>
      <c r="B31" s="52" t="s">
        <v>44</v>
      </c>
      <c r="C31" s="51">
        <v>27013.375</v>
      </c>
      <c r="D31" s="9"/>
      <c r="E31">
        <f t="shared" si="0"/>
        <v>448.01430364184301</v>
      </c>
      <c r="F31">
        <f t="shared" si="1"/>
        <v>448</v>
      </c>
      <c r="G31">
        <f t="shared" si="3"/>
        <v>3.7032000000181142E-2</v>
      </c>
      <c r="L31">
        <f t="shared" si="4"/>
        <v>3.7032000000181142E-2</v>
      </c>
      <c r="Q31" s="2">
        <f t="shared" si="2"/>
        <v>11994.875</v>
      </c>
    </row>
    <row r="32" spans="1:17" x14ac:dyDescent="0.2">
      <c r="A32" s="50" t="s">
        <v>68</v>
      </c>
      <c r="B32" s="52" t="s">
        <v>44</v>
      </c>
      <c r="C32" s="51">
        <v>27039.281999999999</v>
      </c>
      <c r="D32" s="9"/>
      <c r="E32">
        <f t="shared" si="0"/>
        <v>458.02090466903826</v>
      </c>
      <c r="F32">
        <f t="shared" si="1"/>
        <v>458</v>
      </c>
      <c r="G32">
        <f t="shared" si="3"/>
        <v>5.4121999997732928E-2</v>
      </c>
      <c r="L32">
        <f t="shared" si="4"/>
        <v>5.4121999997732928E-2</v>
      </c>
      <c r="Q32" s="2">
        <f t="shared" si="2"/>
        <v>12020.781999999999</v>
      </c>
    </row>
    <row r="33" spans="1:32" x14ac:dyDescent="0.2">
      <c r="A33" s="50" t="s">
        <v>68</v>
      </c>
      <c r="B33" s="52" t="s">
        <v>44</v>
      </c>
      <c r="C33" s="51">
        <v>27096.294999999998</v>
      </c>
      <c r="D33" s="9"/>
      <c r="E33">
        <f t="shared" si="0"/>
        <v>480.04222494400216</v>
      </c>
      <c r="F33">
        <f t="shared" si="1"/>
        <v>480</v>
      </c>
      <c r="G33">
        <f t="shared" si="3"/>
        <v>0.10931999999593245</v>
      </c>
      <c r="L33">
        <f t="shared" si="4"/>
        <v>0.10931999999593245</v>
      </c>
      <c r="Q33" s="2">
        <f t="shared" si="2"/>
        <v>12077.794999999998</v>
      </c>
    </row>
    <row r="34" spans="1:32" x14ac:dyDescent="0.2">
      <c r="A34" s="50" t="s">
        <v>68</v>
      </c>
      <c r="B34" s="52" t="s">
        <v>44</v>
      </c>
      <c r="C34" s="51">
        <v>27417.302</v>
      </c>
      <c r="D34" s="9"/>
      <c r="E34">
        <f t="shared" si="0"/>
        <v>604.03145472502547</v>
      </c>
      <c r="F34">
        <f t="shared" si="1"/>
        <v>604</v>
      </c>
      <c r="G34">
        <f t="shared" si="3"/>
        <v>8.1435999996756436E-2</v>
      </c>
      <c r="L34">
        <f t="shared" si="4"/>
        <v>8.1435999996756436E-2</v>
      </c>
      <c r="Q34" s="2">
        <f t="shared" si="2"/>
        <v>12398.802</v>
      </c>
    </row>
    <row r="35" spans="1:32" x14ac:dyDescent="0.2">
      <c r="A35" s="50" t="s">
        <v>68</v>
      </c>
      <c r="B35" s="52" t="s">
        <v>44</v>
      </c>
      <c r="C35" s="51">
        <v>27448.246999999999</v>
      </c>
      <c r="D35" s="9"/>
      <c r="E35">
        <f t="shared" si="0"/>
        <v>615.98398758435167</v>
      </c>
      <c r="F35">
        <f t="shared" si="1"/>
        <v>616</v>
      </c>
      <c r="G35">
        <f t="shared" si="3"/>
        <v>-4.1456000002654037E-2</v>
      </c>
      <c r="L35">
        <f t="shared" si="4"/>
        <v>-4.1456000002654037E-2</v>
      </c>
      <c r="Q35" s="2">
        <f t="shared" si="2"/>
        <v>12429.746999999999</v>
      </c>
    </row>
    <row r="36" spans="1:32" x14ac:dyDescent="0.2">
      <c r="A36" s="50" t="s">
        <v>113</v>
      </c>
      <c r="B36" s="52" t="s">
        <v>44</v>
      </c>
      <c r="C36" s="51">
        <v>29320.129000000001</v>
      </c>
      <c r="D36" s="9"/>
      <c r="E36">
        <f t="shared" si="0"/>
        <v>1339.0000196987937</v>
      </c>
      <c r="F36">
        <f t="shared" si="1"/>
        <v>1339</v>
      </c>
      <c r="G36">
        <f t="shared" si="3"/>
        <v>5.0999999075429514E-5</v>
      </c>
      <c r="L36">
        <f t="shared" si="4"/>
        <v>5.0999999075429514E-5</v>
      </c>
      <c r="Q36" s="2">
        <f t="shared" si="2"/>
        <v>14301.629000000001</v>
      </c>
    </row>
    <row r="37" spans="1:32" x14ac:dyDescent="0.2">
      <c r="A37" s="50" t="s">
        <v>117</v>
      </c>
      <c r="B37" s="52" t="s">
        <v>44</v>
      </c>
      <c r="C37" s="51">
        <v>31347.309000000001</v>
      </c>
      <c r="D37" s="9"/>
      <c r="E37">
        <f t="shared" si="0"/>
        <v>2122.0000378525842</v>
      </c>
      <c r="F37">
        <f t="shared" si="1"/>
        <v>2122</v>
      </c>
      <c r="G37">
        <f t="shared" si="3"/>
        <v>9.8000000434694812E-5</v>
      </c>
      <c r="L37">
        <f t="shared" si="4"/>
        <v>9.8000000434694812E-5</v>
      </c>
      <c r="Q37" s="2">
        <f t="shared" si="2"/>
        <v>16328.809000000001</v>
      </c>
    </row>
    <row r="38" spans="1:32" x14ac:dyDescent="0.2">
      <c r="A38" t="s">
        <v>29</v>
      </c>
      <c r="C38" s="12">
        <v>47153.23</v>
      </c>
      <c r="D38" s="12"/>
      <c r="E38">
        <f t="shared" si="0"/>
        <v>8227.050615471433</v>
      </c>
      <c r="F38">
        <f t="shared" si="1"/>
        <v>8227</v>
      </c>
      <c r="G38">
        <f t="shared" si="3"/>
        <v>0.13104300000122748</v>
      </c>
      <c r="I38">
        <f>+G38</f>
        <v>0.13104300000122748</v>
      </c>
      <c r="O38">
        <f t="shared" ref="O38:O49" ca="1" si="5">+C$11+C$12*$F38</f>
        <v>0.13332441772986001</v>
      </c>
      <c r="Q38" s="2">
        <f t="shared" si="2"/>
        <v>32134.730000000003</v>
      </c>
      <c r="AB38">
        <v>17</v>
      </c>
      <c r="AD38" t="s">
        <v>28</v>
      </c>
      <c r="AF38" t="s">
        <v>30</v>
      </c>
    </row>
    <row r="39" spans="1:32" x14ac:dyDescent="0.2">
      <c r="A39" t="s">
        <v>32</v>
      </c>
      <c r="C39" s="12">
        <v>48556.436000000002</v>
      </c>
      <c r="D39" s="12">
        <v>7.0000000000000001E-3</v>
      </c>
      <c r="E39">
        <f t="shared" si="0"/>
        <v>8769.0401395756107</v>
      </c>
      <c r="F39">
        <f t="shared" si="1"/>
        <v>8769</v>
      </c>
      <c r="G39">
        <f t="shared" si="3"/>
        <v>0.10392100000171922</v>
      </c>
      <c r="I39">
        <f>+G39</f>
        <v>0.10392100000171922</v>
      </c>
      <c r="O39">
        <f t="shared" ca="1" si="5"/>
        <v>0.12256530422183912</v>
      </c>
      <c r="Q39" s="2">
        <f t="shared" si="2"/>
        <v>33537.936000000002</v>
      </c>
      <c r="AB39">
        <v>15</v>
      </c>
      <c r="AD39" t="s">
        <v>31</v>
      </c>
      <c r="AF39" t="s">
        <v>30</v>
      </c>
    </row>
    <row r="40" spans="1:32" x14ac:dyDescent="0.2">
      <c r="A40" s="50" t="s">
        <v>131</v>
      </c>
      <c r="B40" s="52" t="s">
        <v>44</v>
      </c>
      <c r="C40" s="51">
        <v>51018.546999999999</v>
      </c>
      <c r="D40" s="9"/>
      <c r="E40">
        <f t="shared" si="0"/>
        <v>9720.0326304726423</v>
      </c>
      <c r="F40">
        <f t="shared" si="1"/>
        <v>9720</v>
      </c>
      <c r="G40">
        <f t="shared" si="3"/>
        <v>8.4479999997711275E-2</v>
      </c>
      <c r="L40">
        <f>+G40</f>
        <v>8.4479999997711275E-2</v>
      </c>
      <c r="O40">
        <f t="shared" ca="1" si="5"/>
        <v>0.10368722867547772</v>
      </c>
      <c r="Q40" s="2">
        <f t="shared" si="2"/>
        <v>36000.046999999999</v>
      </c>
    </row>
    <row r="41" spans="1:32" x14ac:dyDescent="0.2">
      <c r="A41" s="50" t="s">
        <v>138</v>
      </c>
      <c r="B41" s="52" t="s">
        <v>44</v>
      </c>
      <c r="C41" s="51">
        <v>51549.330099999999</v>
      </c>
      <c r="D41" s="9"/>
      <c r="E41">
        <f t="shared" si="0"/>
        <v>9925.0480592632412</v>
      </c>
      <c r="F41">
        <f t="shared" si="1"/>
        <v>9925</v>
      </c>
      <c r="G41">
        <f t="shared" si="3"/>
        <v>0.12442499999451684</v>
      </c>
      <c r="L41">
        <f>+G41</f>
        <v>0.12442499999451684</v>
      </c>
      <c r="O41">
        <f t="shared" ca="1" si="5"/>
        <v>9.9617822274842532E-2</v>
      </c>
      <c r="Q41" s="2">
        <f t="shared" si="2"/>
        <v>36530.830099999999</v>
      </c>
    </row>
    <row r="42" spans="1:32" x14ac:dyDescent="0.2">
      <c r="A42" s="50" t="s">
        <v>142</v>
      </c>
      <c r="B42" s="52" t="s">
        <v>44</v>
      </c>
      <c r="C42" s="51">
        <v>51769.372000000003</v>
      </c>
      <c r="D42" s="9"/>
      <c r="E42">
        <f t="shared" si="0"/>
        <v>10010.039432350286</v>
      </c>
      <c r="F42">
        <f t="shared" si="1"/>
        <v>10010</v>
      </c>
      <c r="G42">
        <f t="shared" si="3"/>
        <v>0.10209000000031665</v>
      </c>
      <c r="L42">
        <f>+G42</f>
        <v>0.10209000000031665</v>
      </c>
      <c r="O42">
        <f t="shared" ca="1" si="5"/>
        <v>9.7930507425798674E-2</v>
      </c>
      <c r="Q42" s="2">
        <f t="shared" si="2"/>
        <v>36750.872000000003</v>
      </c>
    </row>
    <row r="43" spans="1:32" x14ac:dyDescent="0.2">
      <c r="A43" s="50" t="s">
        <v>147</v>
      </c>
      <c r="B43" s="52" t="s">
        <v>44</v>
      </c>
      <c r="C43" s="51">
        <v>52877.455000000002</v>
      </c>
      <c r="D43" s="9"/>
      <c r="E43">
        <f t="shared" si="0"/>
        <v>10438.03744393086</v>
      </c>
      <c r="F43">
        <f t="shared" si="1"/>
        <v>10438</v>
      </c>
      <c r="G43">
        <f t="shared" si="3"/>
        <v>9.6942000003764406E-2</v>
      </c>
      <c r="L43">
        <f>+G43</f>
        <v>9.6942000003764406E-2</v>
      </c>
      <c r="O43">
        <f t="shared" ca="1" si="5"/>
        <v>8.9434380891789539E-2</v>
      </c>
      <c r="Q43" s="2">
        <f t="shared" si="2"/>
        <v>37858.955000000002</v>
      </c>
    </row>
    <row r="44" spans="1:32" x14ac:dyDescent="0.2">
      <c r="A44" s="26" t="s">
        <v>43</v>
      </c>
      <c r="B44" s="27" t="s">
        <v>44</v>
      </c>
      <c r="C44" s="12">
        <v>54024.380799999999</v>
      </c>
      <c r="D44" s="9">
        <v>8.0000000000000004E-4</v>
      </c>
      <c r="E44">
        <f t="shared" si="0"/>
        <v>10881.038520412005</v>
      </c>
      <c r="F44">
        <f t="shared" si="1"/>
        <v>10881</v>
      </c>
      <c r="G44">
        <f t="shared" si="3"/>
        <v>9.972899999411311E-2</v>
      </c>
      <c r="K44">
        <f>+G44</f>
        <v>9.972899999411311E-2</v>
      </c>
      <c r="O44">
        <f t="shared" ca="1" si="5"/>
        <v>8.0640492913831519E-2</v>
      </c>
      <c r="Q44" s="2">
        <f t="shared" si="2"/>
        <v>39005.880799999999</v>
      </c>
    </row>
    <row r="45" spans="1:32" x14ac:dyDescent="0.2">
      <c r="A45" s="6" t="s">
        <v>47</v>
      </c>
      <c r="C45" s="12">
        <v>54355.766000000003</v>
      </c>
      <c r="D45" s="12">
        <v>1E-3</v>
      </c>
      <c r="E45">
        <f t="shared" si="0"/>
        <v>11009.03633886715</v>
      </c>
      <c r="F45">
        <f t="shared" si="1"/>
        <v>11009</v>
      </c>
      <c r="G45">
        <f t="shared" si="3"/>
        <v>9.4081000002915971E-2</v>
      </c>
      <c r="J45">
        <f>+G45</f>
        <v>9.4081000002915971E-2</v>
      </c>
      <c r="O45">
        <f t="shared" ca="1" si="5"/>
        <v>7.8099595258800752E-2</v>
      </c>
      <c r="Q45" s="2">
        <f t="shared" si="2"/>
        <v>39337.266000000003</v>
      </c>
    </row>
    <row r="46" spans="1:32" x14ac:dyDescent="0.2">
      <c r="A46" s="50" t="s">
        <v>167</v>
      </c>
      <c r="B46" s="52" t="s">
        <v>184</v>
      </c>
      <c r="C46" s="51">
        <v>55154.4139</v>
      </c>
      <c r="D46" s="9"/>
      <c r="E46">
        <f t="shared" si="0"/>
        <v>11317.514776992271</v>
      </c>
      <c r="F46">
        <f t="shared" si="1"/>
        <v>11317.5</v>
      </c>
      <c r="G46">
        <f t="shared" si="3"/>
        <v>3.8257499996689148E-2</v>
      </c>
      <c r="L46">
        <f>+G46</f>
        <v>3.8257499996689148E-2</v>
      </c>
      <c r="O46">
        <f t="shared" ca="1" si="5"/>
        <v>7.1975634894918011E-2</v>
      </c>
      <c r="Q46" s="2">
        <f t="shared" si="2"/>
        <v>40135.9139</v>
      </c>
    </row>
    <row r="47" spans="1:32" x14ac:dyDescent="0.2">
      <c r="A47" s="50" t="s">
        <v>173</v>
      </c>
      <c r="B47" s="52" t="s">
        <v>44</v>
      </c>
      <c r="C47" s="51">
        <v>55857.361499999999</v>
      </c>
      <c r="D47" s="9"/>
      <c r="E47">
        <f t="shared" si="0"/>
        <v>11589.028891950569</v>
      </c>
      <c r="F47">
        <f t="shared" si="1"/>
        <v>11589</v>
      </c>
      <c r="G47">
        <f t="shared" si="3"/>
        <v>7.480099999520462E-2</v>
      </c>
      <c r="L47">
        <f>+G47</f>
        <v>7.480099999520462E-2</v>
      </c>
      <c r="O47">
        <f t="shared" ca="1" si="5"/>
        <v>6.6586152759442602E-2</v>
      </c>
      <c r="Q47" s="2">
        <f t="shared" si="2"/>
        <v>40838.861499999999</v>
      </c>
    </row>
    <row r="48" spans="1:32" x14ac:dyDescent="0.2">
      <c r="A48" s="28" t="s">
        <v>46</v>
      </c>
      <c r="B48" s="29" t="s">
        <v>44</v>
      </c>
      <c r="C48" s="30">
        <v>56245.7068</v>
      </c>
      <c r="D48" s="30">
        <v>4.0000000000000002E-4</v>
      </c>
      <c r="E48">
        <f t="shared" si="0"/>
        <v>11739.027598010189</v>
      </c>
      <c r="F48">
        <f t="shared" si="1"/>
        <v>11739</v>
      </c>
      <c r="G48">
        <f t="shared" si="3"/>
        <v>7.1450999996159226E-2</v>
      </c>
      <c r="K48">
        <f>+G48</f>
        <v>7.1450999996159226E-2</v>
      </c>
      <c r="O48">
        <f t="shared" ca="1" si="5"/>
        <v>6.3608538319953417E-2</v>
      </c>
      <c r="Q48" s="2">
        <f t="shared" si="2"/>
        <v>41227.2068</v>
      </c>
    </row>
    <row r="49" spans="1:17" x14ac:dyDescent="0.2">
      <c r="A49" s="35" t="s">
        <v>51</v>
      </c>
      <c r="B49" s="36"/>
      <c r="C49" s="35">
        <v>56934.373500000002</v>
      </c>
      <c r="D49" s="35">
        <v>1.21E-2</v>
      </c>
      <c r="E49">
        <f t="shared" si="0"/>
        <v>12005.025703063471</v>
      </c>
      <c r="F49">
        <f t="shared" si="1"/>
        <v>12005</v>
      </c>
      <c r="G49">
        <f t="shared" si="3"/>
        <v>6.6545000001497101E-2</v>
      </c>
      <c r="K49">
        <f>+G49</f>
        <v>6.6545000001497101E-2</v>
      </c>
      <c r="O49">
        <f t="shared" ca="1" si="5"/>
        <v>5.8328235380592619E-2</v>
      </c>
      <c r="Q49" s="2">
        <f t="shared" si="2"/>
        <v>41915.873500000002</v>
      </c>
    </row>
    <row r="50" spans="1:17" x14ac:dyDescent="0.2">
      <c r="A50" s="53" t="s">
        <v>185</v>
      </c>
      <c r="B50" s="54" t="s">
        <v>184</v>
      </c>
      <c r="C50" s="55">
        <v>59466.357100000001</v>
      </c>
      <c r="D50" s="53">
        <v>1E-3</v>
      </c>
      <c r="E50">
        <f t="shared" ref="E50" si="6">+(C50-C$7)/C$8</f>
        <v>12983.006545793321</v>
      </c>
      <c r="F50">
        <f t="shared" ref="F50" si="7">ROUND(2*E50,0)/2</f>
        <v>12983</v>
      </c>
      <c r="G50">
        <f t="shared" ref="G50" si="8">+C50-(C$7+F50*C$8)</f>
        <v>1.6946999996434897E-2</v>
      </c>
      <c r="K50">
        <f>+G50</f>
        <v>1.6946999996434897E-2</v>
      </c>
      <c r="O50">
        <f t="shared" ref="O50" ca="1" si="9">+C$11+C$12*$F50</f>
        <v>3.8914189235123187E-2</v>
      </c>
      <c r="Q50" s="2">
        <f t="shared" ref="Q50" si="10">+C50-15018.5</f>
        <v>44447.857100000001</v>
      </c>
    </row>
    <row r="51" spans="1:17" x14ac:dyDescent="0.2">
      <c r="B51" s="16"/>
      <c r="C51" s="9"/>
      <c r="D51" s="9"/>
    </row>
    <row r="52" spans="1:17" x14ac:dyDescent="0.2">
      <c r="B52" s="16"/>
      <c r="C52" s="9"/>
      <c r="D52" s="9"/>
    </row>
    <row r="53" spans="1:17" x14ac:dyDescent="0.2">
      <c r="B53" s="16"/>
      <c r="C53" s="9"/>
      <c r="D53" s="9"/>
    </row>
    <row r="54" spans="1:17" x14ac:dyDescent="0.2">
      <c r="B54" s="16"/>
      <c r="C54" s="9"/>
      <c r="D54" s="9"/>
    </row>
    <row r="55" spans="1:17" x14ac:dyDescent="0.2">
      <c r="B55" s="16"/>
      <c r="C55" s="9"/>
      <c r="D55" s="9"/>
    </row>
    <row r="56" spans="1:17" x14ac:dyDescent="0.2">
      <c r="B56" s="16"/>
      <c r="C56" s="9"/>
      <c r="D56" s="9"/>
    </row>
    <row r="57" spans="1:17" x14ac:dyDescent="0.2">
      <c r="B57" s="16"/>
      <c r="C57" s="9"/>
      <c r="D57" s="9"/>
    </row>
    <row r="58" spans="1:17" x14ac:dyDescent="0.2">
      <c r="B58" s="16"/>
      <c r="C58" s="9"/>
      <c r="D58" s="9"/>
    </row>
    <row r="59" spans="1:17" x14ac:dyDescent="0.2">
      <c r="B59" s="16"/>
      <c r="C59" s="9"/>
      <c r="D59" s="9"/>
    </row>
    <row r="60" spans="1:17" x14ac:dyDescent="0.2">
      <c r="B60" s="16"/>
      <c r="C60" s="9"/>
      <c r="D60" s="9"/>
    </row>
    <row r="61" spans="1:17" x14ac:dyDescent="0.2">
      <c r="B61" s="16"/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6"/>
  <sheetViews>
    <sheetView workbookViewId="0">
      <selection activeCell="A17" sqref="A17:C38"/>
    </sheetView>
  </sheetViews>
  <sheetFormatPr defaultRowHeight="12.75" x14ac:dyDescent="0.2"/>
  <cols>
    <col min="1" max="1" width="19.7109375" style="9" customWidth="1"/>
    <col min="2" max="2" width="4.42578125" style="14" customWidth="1"/>
    <col min="3" max="3" width="12.7109375" style="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7" t="s">
        <v>52</v>
      </c>
      <c r="I1" s="38" t="s">
        <v>53</v>
      </c>
      <c r="J1" s="39" t="s">
        <v>54</v>
      </c>
    </row>
    <row r="2" spans="1:16" x14ac:dyDescent="0.2">
      <c r="I2" s="40" t="s">
        <v>55</v>
      </c>
      <c r="J2" s="41" t="s">
        <v>56</v>
      </c>
    </row>
    <row r="3" spans="1:16" x14ac:dyDescent="0.2">
      <c r="A3" s="42" t="s">
        <v>57</v>
      </c>
      <c r="I3" s="40" t="s">
        <v>58</v>
      </c>
      <c r="J3" s="41" t="s">
        <v>59</v>
      </c>
    </row>
    <row r="4" spans="1:16" x14ac:dyDescent="0.2">
      <c r="I4" s="40" t="s">
        <v>60</v>
      </c>
      <c r="J4" s="41" t="s">
        <v>59</v>
      </c>
    </row>
    <row r="5" spans="1:16" ht="13.5" thickBot="1" x14ac:dyDescent="0.25">
      <c r="I5" s="43" t="s">
        <v>61</v>
      </c>
      <c r="J5" s="44" t="s">
        <v>62</v>
      </c>
    </row>
    <row r="10" spans="1:16" ht="13.5" thickBot="1" x14ac:dyDescent="0.25"/>
    <row r="11" spans="1:16" ht="12.75" customHeight="1" thickBot="1" x14ac:dyDescent="0.25">
      <c r="A11" s="9" t="str">
        <f t="shared" ref="A11:A38" si="0">P11</f>
        <v> BBS 86 </v>
      </c>
      <c r="B11" s="16" t="str">
        <f t="shared" ref="B11:B38" si="1">IF(H11=INT(H11),"I","II")</f>
        <v>I</v>
      </c>
      <c r="C11" s="9">
        <f t="shared" ref="C11:C38" si="2">1*G11</f>
        <v>47153.23</v>
      </c>
      <c r="D11" s="14" t="str">
        <f t="shared" ref="D11:D38" si="3">VLOOKUP(F11,I$1:J$5,2,FALSE)</f>
        <v>vis</v>
      </c>
      <c r="E11" s="45">
        <f>VLOOKUP(C11,Active!C$21:E$973,3,FALSE)</f>
        <v>8227.050615471433</v>
      </c>
      <c r="F11" s="16" t="s">
        <v>61</v>
      </c>
      <c r="G11" s="14" t="str">
        <f t="shared" ref="G11:G38" si="4">MID(I11,3,LEN(I11)-3)</f>
        <v>47153.23</v>
      </c>
      <c r="H11" s="9">
        <f t="shared" ref="H11:H38" si="5">1*K11</f>
        <v>8227</v>
      </c>
      <c r="I11" s="46" t="s">
        <v>118</v>
      </c>
      <c r="J11" s="47" t="s">
        <v>119</v>
      </c>
      <c r="K11" s="46">
        <v>8227</v>
      </c>
      <c r="L11" s="46" t="s">
        <v>120</v>
      </c>
      <c r="M11" s="47" t="s">
        <v>111</v>
      </c>
      <c r="N11" s="47"/>
      <c r="O11" s="48" t="s">
        <v>121</v>
      </c>
      <c r="P11" s="48" t="s">
        <v>122</v>
      </c>
    </row>
    <row r="12" spans="1:16" ht="12.75" customHeight="1" thickBot="1" x14ac:dyDescent="0.25">
      <c r="A12" s="9" t="str">
        <f t="shared" si="0"/>
        <v> BBS 99 </v>
      </c>
      <c r="B12" s="16" t="str">
        <f t="shared" si="1"/>
        <v>I</v>
      </c>
      <c r="C12" s="9">
        <f t="shared" si="2"/>
        <v>48556.436000000002</v>
      </c>
      <c r="D12" s="14" t="str">
        <f t="shared" si="3"/>
        <v>vis</v>
      </c>
      <c r="E12" s="45">
        <f>VLOOKUP(C12,Active!C$21:E$973,3,FALSE)</f>
        <v>8769.0401395756107</v>
      </c>
      <c r="F12" s="16" t="s">
        <v>61</v>
      </c>
      <c r="G12" s="14" t="str">
        <f t="shared" si="4"/>
        <v>48556.436</v>
      </c>
      <c r="H12" s="9">
        <f t="shared" si="5"/>
        <v>8769</v>
      </c>
      <c r="I12" s="46" t="s">
        <v>123</v>
      </c>
      <c r="J12" s="47" t="s">
        <v>124</v>
      </c>
      <c r="K12" s="46">
        <v>8769</v>
      </c>
      <c r="L12" s="46" t="s">
        <v>125</v>
      </c>
      <c r="M12" s="47" t="s">
        <v>111</v>
      </c>
      <c r="N12" s="47"/>
      <c r="O12" s="48" t="s">
        <v>126</v>
      </c>
      <c r="P12" s="48" t="s">
        <v>127</v>
      </c>
    </row>
    <row r="13" spans="1:16" ht="12.75" customHeight="1" thickBot="1" x14ac:dyDescent="0.25">
      <c r="A13" s="9" t="str">
        <f t="shared" si="0"/>
        <v>BAVM 183 </v>
      </c>
      <c r="B13" s="16" t="str">
        <f t="shared" si="1"/>
        <v>I</v>
      </c>
      <c r="C13" s="9">
        <f t="shared" si="2"/>
        <v>54024.380799999999</v>
      </c>
      <c r="D13" s="14" t="str">
        <f t="shared" si="3"/>
        <v>vis</v>
      </c>
      <c r="E13" s="45">
        <f>VLOOKUP(C13,Active!C$21:E$973,3,FALSE)</f>
        <v>10881.038520412005</v>
      </c>
      <c r="F13" s="16" t="s">
        <v>61</v>
      </c>
      <c r="G13" s="14" t="str">
        <f t="shared" si="4"/>
        <v>54024.3808</v>
      </c>
      <c r="H13" s="9">
        <f t="shared" si="5"/>
        <v>10881</v>
      </c>
      <c r="I13" s="46" t="s">
        <v>148</v>
      </c>
      <c r="J13" s="47" t="s">
        <v>149</v>
      </c>
      <c r="K13" s="46">
        <v>10881</v>
      </c>
      <c r="L13" s="46" t="s">
        <v>150</v>
      </c>
      <c r="M13" s="47" t="s">
        <v>151</v>
      </c>
      <c r="N13" s="47" t="s">
        <v>152</v>
      </c>
      <c r="O13" s="48" t="s">
        <v>153</v>
      </c>
      <c r="P13" s="49" t="s">
        <v>154</v>
      </c>
    </row>
    <row r="14" spans="1:16" ht="12.75" customHeight="1" thickBot="1" x14ac:dyDescent="0.25">
      <c r="A14" s="9" t="str">
        <f t="shared" si="0"/>
        <v>IBVS 5820 </v>
      </c>
      <c r="B14" s="16" t="str">
        <f t="shared" si="1"/>
        <v>I</v>
      </c>
      <c r="C14" s="9">
        <f t="shared" si="2"/>
        <v>54355.766000000003</v>
      </c>
      <c r="D14" s="14" t="str">
        <f t="shared" si="3"/>
        <v>vis</v>
      </c>
      <c r="E14" s="45">
        <f>VLOOKUP(C14,Active!C$21:E$973,3,FALSE)</f>
        <v>11009.03633886715</v>
      </c>
      <c r="F14" s="16" t="s">
        <v>61</v>
      </c>
      <c r="G14" s="14" t="str">
        <f t="shared" si="4"/>
        <v>54355.766</v>
      </c>
      <c r="H14" s="9">
        <f t="shared" si="5"/>
        <v>11009</v>
      </c>
      <c r="I14" s="46" t="s">
        <v>155</v>
      </c>
      <c r="J14" s="47" t="s">
        <v>156</v>
      </c>
      <c r="K14" s="46" t="s">
        <v>157</v>
      </c>
      <c r="L14" s="46" t="s">
        <v>158</v>
      </c>
      <c r="M14" s="47" t="s">
        <v>151</v>
      </c>
      <c r="N14" s="47" t="s">
        <v>159</v>
      </c>
      <c r="O14" s="48" t="s">
        <v>160</v>
      </c>
      <c r="P14" s="49" t="s">
        <v>161</v>
      </c>
    </row>
    <row r="15" spans="1:16" ht="12.75" customHeight="1" thickBot="1" x14ac:dyDescent="0.25">
      <c r="A15" s="9" t="str">
        <f t="shared" si="0"/>
        <v>IBVS 6042 </v>
      </c>
      <c r="B15" s="16" t="str">
        <f t="shared" si="1"/>
        <v>I</v>
      </c>
      <c r="C15" s="9">
        <f t="shared" si="2"/>
        <v>56245.7068</v>
      </c>
      <c r="D15" s="14" t="str">
        <f t="shared" si="3"/>
        <v>vis</v>
      </c>
      <c r="E15" s="45">
        <f>VLOOKUP(C15,Active!C$21:E$973,3,FALSE)</f>
        <v>11739.027598010189</v>
      </c>
      <c r="F15" s="16" t="s">
        <v>61</v>
      </c>
      <c r="G15" s="14" t="str">
        <f t="shared" si="4"/>
        <v>56245.7068</v>
      </c>
      <c r="H15" s="9">
        <f t="shared" si="5"/>
        <v>11739</v>
      </c>
      <c r="I15" s="46" t="s">
        <v>174</v>
      </c>
      <c r="J15" s="47" t="s">
        <v>175</v>
      </c>
      <c r="K15" s="46" t="s">
        <v>176</v>
      </c>
      <c r="L15" s="46" t="s">
        <v>177</v>
      </c>
      <c r="M15" s="47" t="s">
        <v>151</v>
      </c>
      <c r="N15" s="47" t="s">
        <v>61</v>
      </c>
      <c r="O15" s="48" t="s">
        <v>137</v>
      </c>
      <c r="P15" s="49" t="s">
        <v>178</v>
      </c>
    </row>
    <row r="16" spans="1:16" ht="12.75" customHeight="1" thickBot="1" x14ac:dyDescent="0.25">
      <c r="A16" s="9" t="str">
        <f t="shared" si="0"/>
        <v>BAVM 239 </v>
      </c>
      <c r="B16" s="16" t="str">
        <f t="shared" si="1"/>
        <v>I</v>
      </c>
      <c r="C16" s="9">
        <f t="shared" si="2"/>
        <v>56934.373500000002</v>
      </c>
      <c r="D16" s="14" t="str">
        <f t="shared" si="3"/>
        <v>vis</v>
      </c>
      <c r="E16" s="45">
        <f>VLOOKUP(C16,Active!C$21:E$973,3,FALSE)</f>
        <v>12005.025703063471</v>
      </c>
      <c r="F16" s="16" t="s">
        <v>61</v>
      </c>
      <c r="G16" s="14" t="str">
        <f t="shared" si="4"/>
        <v>56934.3735</v>
      </c>
      <c r="H16" s="9">
        <f t="shared" si="5"/>
        <v>12005</v>
      </c>
      <c r="I16" s="46" t="s">
        <v>179</v>
      </c>
      <c r="J16" s="47" t="s">
        <v>180</v>
      </c>
      <c r="K16" s="46" t="s">
        <v>181</v>
      </c>
      <c r="L16" s="46" t="s">
        <v>182</v>
      </c>
      <c r="M16" s="47" t="s">
        <v>151</v>
      </c>
      <c r="N16" s="47" t="s">
        <v>152</v>
      </c>
      <c r="O16" s="48" t="s">
        <v>172</v>
      </c>
      <c r="P16" s="49" t="s">
        <v>183</v>
      </c>
    </row>
    <row r="17" spans="1:16" ht="12.75" customHeight="1" thickBot="1" x14ac:dyDescent="0.25">
      <c r="A17" s="9" t="str">
        <f t="shared" si="0"/>
        <v> AN 252.396 </v>
      </c>
      <c r="B17" s="16" t="str">
        <f t="shared" si="1"/>
        <v>I</v>
      </c>
      <c r="C17" s="9">
        <f t="shared" si="2"/>
        <v>25853.422999999999</v>
      </c>
      <c r="D17" s="14" t="str">
        <f t="shared" si="3"/>
        <v>vis</v>
      </c>
      <c r="E17" s="45">
        <f>VLOOKUP(C17,Active!C$21:E$973,3,FALSE)</f>
        <v>-1.8153790415763978E-2</v>
      </c>
      <c r="F17" s="16" t="s">
        <v>61</v>
      </c>
      <c r="G17" s="14" t="str">
        <f t="shared" si="4"/>
        <v>25853.423</v>
      </c>
      <c r="H17" s="9">
        <f t="shared" si="5"/>
        <v>0</v>
      </c>
      <c r="I17" s="46" t="s">
        <v>63</v>
      </c>
      <c r="J17" s="47" t="s">
        <v>64</v>
      </c>
      <c r="K17" s="46">
        <v>0</v>
      </c>
      <c r="L17" s="46" t="s">
        <v>65</v>
      </c>
      <c r="M17" s="47" t="s">
        <v>66</v>
      </c>
      <c r="N17" s="47"/>
      <c r="O17" s="48" t="s">
        <v>67</v>
      </c>
      <c r="P17" s="48" t="s">
        <v>68</v>
      </c>
    </row>
    <row r="18" spans="1:16" ht="12.75" customHeight="1" thickBot="1" x14ac:dyDescent="0.25">
      <c r="A18" s="9" t="str">
        <f t="shared" si="0"/>
        <v> AN 252.396 </v>
      </c>
      <c r="B18" s="16" t="str">
        <f t="shared" si="1"/>
        <v>I</v>
      </c>
      <c r="C18" s="9">
        <f t="shared" si="2"/>
        <v>25853.45</v>
      </c>
      <c r="D18" s="14" t="str">
        <f t="shared" si="3"/>
        <v>vis</v>
      </c>
      <c r="E18" s="45">
        <f>VLOOKUP(C18,Active!C$21:E$973,3,FALSE)</f>
        <v>-7.7250171979881569E-3</v>
      </c>
      <c r="F18" s="16" t="s">
        <v>61</v>
      </c>
      <c r="G18" s="14" t="str">
        <f t="shared" si="4"/>
        <v>25853.450</v>
      </c>
      <c r="H18" s="9">
        <f t="shared" si="5"/>
        <v>0</v>
      </c>
      <c r="I18" s="46" t="s">
        <v>69</v>
      </c>
      <c r="J18" s="47" t="s">
        <v>70</v>
      </c>
      <c r="K18" s="46">
        <v>0</v>
      </c>
      <c r="L18" s="46" t="s">
        <v>71</v>
      </c>
      <c r="M18" s="47" t="s">
        <v>66</v>
      </c>
      <c r="N18" s="47"/>
      <c r="O18" s="48" t="s">
        <v>67</v>
      </c>
      <c r="P18" s="48" t="s">
        <v>68</v>
      </c>
    </row>
    <row r="19" spans="1:16" ht="12.75" customHeight="1" thickBot="1" x14ac:dyDescent="0.25">
      <c r="A19" s="9" t="str">
        <f t="shared" si="0"/>
        <v> AN 252.396 </v>
      </c>
      <c r="B19" s="16" t="str">
        <f t="shared" si="1"/>
        <v>I</v>
      </c>
      <c r="C19" s="9">
        <f t="shared" si="2"/>
        <v>25866.422999999999</v>
      </c>
      <c r="D19" s="14" t="str">
        <f t="shared" si="3"/>
        <v>vis</v>
      </c>
      <c r="E19" s="45">
        <f>VLOOKUP(C19,Active!C$21:E$973,3,FALSE)</f>
        <v>5.003107388166935</v>
      </c>
      <c r="F19" s="16" t="s">
        <v>61</v>
      </c>
      <c r="G19" s="14" t="str">
        <f t="shared" si="4"/>
        <v>25866.423</v>
      </c>
      <c r="H19" s="9">
        <f t="shared" si="5"/>
        <v>5</v>
      </c>
      <c r="I19" s="46" t="s">
        <v>72</v>
      </c>
      <c r="J19" s="47" t="s">
        <v>73</v>
      </c>
      <c r="K19" s="46">
        <v>5</v>
      </c>
      <c r="L19" s="46" t="s">
        <v>74</v>
      </c>
      <c r="M19" s="47" t="s">
        <v>66</v>
      </c>
      <c r="N19" s="47"/>
      <c r="O19" s="48" t="s">
        <v>67</v>
      </c>
      <c r="P19" s="48" t="s">
        <v>68</v>
      </c>
    </row>
    <row r="20" spans="1:16" ht="12.75" customHeight="1" thickBot="1" x14ac:dyDescent="0.25">
      <c r="A20" s="9" t="str">
        <f t="shared" si="0"/>
        <v> AN 252.396 </v>
      </c>
      <c r="B20" s="16" t="str">
        <f t="shared" si="1"/>
        <v>I</v>
      </c>
      <c r="C20" s="9">
        <f t="shared" si="2"/>
        <v>26213.435000000001</v>
      </c>
      <c r="D20" s="14" t="str">
        <f t="shared" si="3"/>
        <v>vis</v>
      </c>
      <c r="E20" s="45">
        <f>VLOOKUP(C20,Active!C$21:E$973,3,FALSE)</f>
        <v>139.03679078065554</v>
      </c>
      <c r="F20" s="16" t="s">
        <v>61</v>
      </c>
      <c r="G20" s="14" t="str">
        <f t="shared" si="4"/>
        <v>26213.435</v>
      </c>
      <c r="H20" s="9">
        <f t="shared" si="5"/>
        <v>139</v>
      </c>
      <c r="I20" s="46" t="s">
        <v>75</v>
      </c>
      <c r="J20" s="47" t="s">
        <v>76</v>
      </c>
      <c r="K20" s="46">
        <v>139</v>
      </c>
      <c r="L20" s="46" t="s">
        <v>77</v>
      </c>
      <c r="M20" s="47" t="s">
        <v>66</v>
      </c>
      <c r="N20" s="47"/>
      <c r="O20" s="48" t="s">
        <v>67</v>
      </c>
      <c r="P20" s="48" t="s">
        <v>68</v>
      </c>
    </row>
    <row r="21" spans="1:16" ht="12.75" customHeight="1" thickBot="1" x14ac:dyDescent="0.25">
      <c r="A21" s="9" t="str">
        <f t="shared" si="0"/>
        <v> AN 252.396 </v>
      </c>
      <c r="B21" s="16" t="str">
        <f t="shared" si="1"/>
        <v>I</v>
      </c>
      <c r="C21" s="9">
        <f t="shared" si="2"/>
        <v>26218.557000000001</v>
      </c>
      <c r="D21" s="14" t="str">
        <f t="shared" si="3"/>
        <v>vis</v>
      </c>
      <c r="E21" s="45">
        <f>VLOOKUP(C21,Active!C$21:E$973,3,FALSE)</f>
        <v>141.01516768501688</v>
      </c>
      <c r="F21" s="16" t="s">
        <v>61</v>
      </c>
      <c r="G21" s="14" t="str">
        <f t="shared" si="4"/>
        <v>26218.557</v>
      </c>
      <c r="H21" s="9">
        <f t="shared" si="5"/>
        <v>141</v>
      </c>
      <c r="I21" s="46" t="s">
        <v>78</v>
      </c>
      <c r="J21" s="47" t="s">
        <v>79</v>
      </c>
      <c r="K21" s="46">
        <v>141</v>
      </c>
      <c r="L21" s="46" t="s">
        <v>80</v>
      </c>
      <c r="M21" s="47" t="s">
        <v>66</v>
      </c>
      <c r="N21" s="47"/>
      <c r="O21" s="48" t="s">
        <v>67</v>
      </c>
      <c r="P21" s="48" t="s">
        <v>68</v>
      </c>
    </row>
    <row r="22" spans="1:16" ht="12.75" customHeight="1" thickBot="1" x14ac:dyDescent="0.25">
      <c r="A22" s="9" t="str">
        <f t="shared" si="0"/>
        <v> AN 252.396 </v>
      </c>
      <c r="B22" s="16" t="str">
        <f t="shared" si="1"/>
        <v>I</v>
      </c>
      <c r="C22" s="9">
        <f t="shared" si="2"/>
        <v>26244.401999999998</v>
      </c>
      <c r="D22" s="14" t="str">
        <f t="shared" si="3"/>
        <v>vis</v>
      </c>
      <c r="E22" s="45">
        <f>VLOOKUP(C22,Active!C$21:E$973,3,FALSE)</f>
        <v>150.9978211588982</v>
      </c>
      <c r="F22" s="16" t="s">
        <v>61</v>
      </c>
      <c r="G22" s="14" t="str">
        <f t="shared" si="4"/>
        <v>26244.402</v>
      </c>
      <c r="H22" s="9">
        <f t="shared" si="5"/>
        <v>151</v>
      </c>
      <c r="I22" s="46" t="s">
        <v>81</v>
      </c>
      <c r="J22" s="47" t="s">
        <v>82</v>
      </c>
      <c r="K22" s="46">
        <v>151</v>
      </c>
      <c r="L22" s="46" t="s">
        <v>83</v>
      </c>
      <c r="M22" s="47" t="s">
        <v>66</v>
      </c>
      <c r="N22" s="47"/>
      <c r="O22" s="48" t="s">
        <v>67</v>
      </c>
      <c r="P22" s="48" t="s">
        <v>68</v>
      </c>
    </row>
    <row r="23" spans="1:16" ht="12.75" customHeight="1" thickBot="1" x14ac:dyDescent="0.25">
      <c r="A23" s="9" t="str">
        <f t="shared" si="0"/>
        <v> AN 252.396 </v>
      </c>
      <c r="B23" s="16" t="str">
        <f t="shared" si="1"/>
        <v>I</v>
      </c>
      <c r="C23" s="9">
        <f t="shared" si="2"/>
        <v>26627.567999999999</v>
      </c>
      <c r="D23" s="14" t="str">
        <f t="shared" si="3"/>
        <v>vis</v>
      </c>
      <c r="E23" s="45">
        <f>VLOOKUP(C23,Active!C$21:E$973,3,FALSE)</f>
        <v>298.99601813988465</v>
      </c>
      <c r="F23" s="16" t="s">
        <v>61</v>
      </c>
      <c r="G23" s="14" t="str">
        <f t="shared" si="4"/>
        <v>26627.568</v>
      </c>
      <c r="H23" s="9">
        <f t="shared" si="5"/>
        <v>299</v>
      </c>
      <c r="I23" s="46" t="s">
        <v>84</v>
      </c>
      <c r="J23" s="47" t="s">
        <v>85</v>
      </c>
      <c r="K23" s="46">
        <v>299</v>
      </c>
      <c r="L23" s="46" t="s">
        <v>86</v>
      </c>
      <c r="M23" s="47" t="s">
        <v>66</v>
      </c>
      <c r="N23" s="47"/>
      <c r="O23" s="48" t="s">
        <v>67</v>
      </c>
      <c r="P23" s="48" t="s">
        <v>68</v>
      </c>
    </row>
    <row r="24" spans="1:16" ht="12.75" customHeight="1" thickBot="1" x14ac:dyDescent="0.25">
      <c r="A24" s="9" t="str">
        <f t="shared" si="0"/>
        <v> AN 252.396 </v>
      </c>
      <c r="B24" s="16" t="str">
        <f t="shared" si="1"/>
        <v>I</v>
      </c>
      <c r="C24" s="9">
        <f t="shared" si="2"/>
        <v>26987.393</v>
      </c>
      <c r="D24" s="14" t="str">
        <f t="shared" si="3"/>
        <v>vis</v>
      </c>
      <c r="E24" s="45">
        <f>VLOOKUP(C24,Active!C$21:E$973,3,FALSE)</f>
        <v>437.97873380015568</v>
      </c>
      <c r="F24" s="16" t="s">
        <v>61</v>
      </c>
      <c r="G24" s="14" t="str">
        <f t="shared" si="4"/>
        <v>26987.393</v>
      </c>
      <c r="H24" s="9">
        <f t="shared" si="5"/>
        <v>438</v>
      </c>
      <c r="I24" s="46" t="s">
        <v>87</v>
      </c>
      <c r="J24" s="47" t="s">
        <v>88</v>
      </c>
      <c r="K24" s="46">
        <v>438</v>
      </c>
      <c r="L24" s="46" t="s">
        <v>89</v>
      </c>
      <c r="M24" s="47" t="s">
        <v>66</v>
      </c>
      <c r="N24" s="47"/>
      <c r="O24" s="48" t="s">
        <v>67</v>
      </c>
      <c r="P24" s="48" t="s">
        <v>68</v>
      </c>
    </row>
    <row r="25" spans="1:16" ht="12.75" customHeight="1" thickBot="1" x14ac:dyDescent="0.25">
      <c r="A25" s="9" t="str">
        <f t="shared" si="0"/>
        <v> AN 252.396 </v>
      </c>
      <c r="B25" s="16" t="str">
        <f t="shared" si="1"/>
        <v>I</v>
      </c>
      <c r="C25" s="9">
        <f t="shared" si="2"/>
        <v>26987.396000000001</v>
      </c>
      <c r="D25" s="14" t="str">
        <f t="shared" si="3"/>
        <v>vis</v>
      </c>
      <c r="E25" s="45">
        <f>VLOOKUP(C25,Active!C$21:E$973,3,FALSE)</f>
        <v>437.97989255273558</v>
      </c>
      <c r="F25" s="16" t="s">
        <v>61</v>
      </c>
      <c r="G25" s="14" t="str">
        <f t="shared" si="4"/>
        <v>26987.396</v>
      </c>
      <c r="H25" s="9">
        <f t="shared" si="5"/>
        <v>438</v>
      </c>
      <c r="I25" s="46" t="s">
        <v>90</v>
      </c>
      <c r="J25" s="47" t="s">
        <v>91</v>
      </c>
      <c r="K25" s="46">
        <v>438</v>
      </c>
      <c r="L25" s="46" t="s">
        <v>92</v>
      </c>
      <c r="M25" s="47" t="s">
        <v>66</v>
      </c>
      <c r="N25" s="47"/>
      <c r="O25" s="48" t="s">
        <v>67</v>
      </c>
      <c r="P25" s="48" t="s">
        <v>68</v>
      </c>
    </row>
    <row r="26" spans="1:16" ht="12.75" customHeight="1" thickBot="1" x14ac:dyDescent="0.25">
      <c r="A26" s="9" t="str">
        <f t="shared" si="0"/>
        <v> AN 252.396 </v>
      </c>
      <c r="B26" s="16" t="str">
        <f t="shared" si="1"/>
        <v>I</v>
      </c>
      <c r="C26" s="9">
        <f t="shared" si="2"/>
        <v>27013.375</v>
      </c>
      <c r="D26" s="14" t="str">
        <f t="shared" si="3"/>
        <v>vis</v>
      </c>
      <c r="E26" s="45">
        <f>VLOOKUP(C26,Active!C$21:E$973,3,FALSE)</f>
        <v>448.01430364184301</v>
      </c>
      <c r="F26" s="16" t="s">
        <v>61</v>
      </c>
      <c r="G26" s="14" t="str">
        <f t="shared" si="4"/>
        <v>27013.375</v>
      </c>
      <c r="H26" s="9">
        <f t="shared" si="5"/>
        <v>448</v>
      </c>
      <c r="I26" s="46" t="s">
        <v>93</v>
      </c>
      <c r="J26" s="47" t="s">
        <v>94</v>
      </c>
      <c r="K26" s="46">
        <v>448</v>
      </c>
      <c r="L26" s="46" t="s">
        <v>95</v>
      </c>
      <c r="M26" s="47" t="s">
        <v>66</v>
      </c>
      <c r="N26" s="47"/>
      <c r="O26" s="48" t="s">
        <v>67</v>
      </c>
      <c r="P26" s="48" t="s">
        <v>68</v>
      </c>
    </row>
    <row r="27" spans="1:16" ht="12.75" customHeight="1" thickBot="1" x14ac:dyDescent="0.25">
      <c r="A27" s="9" t="str">
        <f t="shared" si="0"/>
        <v> AN 252.396 </v>
      </c>
      <c r="B27" s="16" t="str">
        <f t="shared" si="1"/>
        <v>I</v>
      </c>
      <c r="C27" s="9">
        <f t="shared" si="2"/>
        <v>27039.281999999999</v>
      </c>
      <c r="D27" s="14" t="str">
        <f t="shared" si="3"/>
        <v>vis</v>
      </c>
      <c r="E27" s="45">
        <f>VLOOKUP(C27,Active!C$21:E$973,3,FALSE)</f>
        <v>458.02090466903826</v>
      </c>
      <c r="F27" s="16" t="s">
        <v>61</v>
      </c>
      <c r="G27" s="14" t="str">
        <f t="shared" si="4"/>
        <v>27039.282</v>
      </c>
      <c r="H27" s="9">
        <f t="shared" si="5"/>
        <v>458</v>
      </c>
      <c r="I27" s="46" t="s">
        <v>96</v>
      </c>
      <c r="J27" s="47" t="s">
        <v>97</v>
      </c>
      <c r="K27" s="46">
        <v>458</v>
      </c>
      <c r="L27" s="46" t="s">
        <v>98</v>
      </c>
      <c r="M27" s="47" t="s">
        <v>66</v>
      </c>
      <c r="N27" s="47"/>
      <c r="O27" s="48" t="s">
        <v>67</v>
      </c>
      <c r="P27" s="48" t="s">
        <v>68</v>
      </c>
    </row>
    <row r="28" spans="1:16" ht="12.75" customHeight="1" thickBot="1" x14ac:dyDescent="0.25">
      <c r="A28" s="9" t="str">
        <f t="shared" si="0"/>
        <v> AN 252.396 </v>
      </c>
      <c r="B28" s="16" t="str">
        <f t="shared" si="1"/>
        <v>I</v>
      </c>
      <c r="C28" s="9">
        <f t="shared" si="2"/>
        <v>27096.294999999998</v>
      </c>
      <c r="D28" s="14" t="str">
        <f t="shared" si="3"/>
        <v>vis</v>
      </c>
      <c r="E28" s="45">
        <f>VLOOKUP(C28,Active!C$21:E$973,3,FALSE)</f>
        <v>480.04222494400216</v>
      </c>
      <c r="F28" s="16" t="s">
        <v>61</v>
      </c>
      <c r="G28" s="14" t="str">
        <f t="shared" si="4"/>
        <v>27096.295</v>
      </c>
      <c r="H28" s="9">
        <f t="shared" si="5"/>
        <v>480</v>
      </c>
      <c r="I28" s="46" t="s">
        <v>99</v>
      </c>
      <c r="J28" s="47" t="s">
        <v>100</v>
      </c>
      <c r="K28" s="46">
        <v>480</v>
      </c>
      <c r="L28" s="46" t="s">
        <v>101</v>
      </c>
      <c r="M28" s="47" t="s">
        <v>66</v>
      </c>
      <c r="N28" s="47"/>
      <c r="O28" s="48" t="s">
        <v>67</v>
      </c>
      <c r="P28" s="48" t="s">
        <v>68</v>
      </c>
    </row>
    <row r="29" spans="1:16" ht="12.75" customHeight="1" thickBot="1" x14ac:dyDescent="0.25">
      <c r="A29" s="9" t="str">
        <f t="shared" si="0"/>
        <v> AN 252.396 </v>
      </c>
      <c r="B29" s="16" t="str">
        <f t="shared" si="1"/>
        <v>I</v>
      </c>
      <c r="C29" s="9">
        <f t="shared" si="2"/>
        <v>27417.302</v>
      </c>
      <c r="D29" s="14" t="str">
        <f t="shared" si="3"/>
        <v>vis</v>
      </c>
      <c r="E29" s="45">
        <f>VLOOKUP(C29,Active!C$21:E$973,3,FALSE)</f>
        <v>604.03145472502547</v>
      </c>
      <c r="F29" s="16" t="s">
        <v>61</v>
      </c>
      <c r="G29" s="14" t="str">
        <f t="shared" si="4"/>
        <v>27417.302</v>
      </c>
      <c r="H29" s="9">
        <f t="shared" si="5"/>
        <v>604</v>
      </c>
      <c r="I29" s="46" t="s">
        <v>102</v>
      </c>
      <c r="J29" s="47" t="s">
        <v>103</v>
      </c>
      <c r="K29" s="46">
        <v>604</v>
      </c>
      <c r="L29" s="46" t="s">
        <v>104</v>
      </c>
      <c r="M29" s="47" t="s">
        <v>66</v>
      </c>
      <c r="N29" s="47"/>
      <c r="O29" s="48" t="s">
        <v>67</v>
      </c>
      <c r="P29" s="48" t="s">
        <v>68</v>
      </c>
    </row>
    <row r="30" spans="1:16" ht="12.75" customHeight="1" thickBot="1" x14ac:dyDescent="0.25">
      <c r="A30" s="9" t="str">
        <f t="shared" si="0"/>
        <v> AN 252.396 </v>
      </c>
      <c r="B30" s="16" t="str">
        <f t="shared" si="1"/>
        <v>I</v>
      </c>
      <c r="C30" s="9">
        <f t="shared" si="2"/>
        <v>27448.246999999999</v>
      </c>
      <c r="D30" s="14" t="str">
        <f t="shared" si="3"/>
        <v>vis</v>
      </c>
      <c r="E30" s="45">
        <f>VLOOKUP(C30,Active!C$21:E$973,3,FALSE)</f>
        <v>615.98398758435167</v>
      </c>
      <c r="F30" s="16" t="s">
        <v>61</v>
      </c>
      <c r="G30" s="14" t="str">
        <f t="shared" si="4"/>
        <v>27448.247</v>
      </c>
      <c r="H30" s="9">
        <f t="shared" si="5"/>
        <v>616</v>
      </c>
      <c r="I30" s="46" t="s">
        <v>105</v>
      </c>
      <c r="J30" s="47" t="s">
        <v>106</v>
      </c>
      <c r="K30" s="46">
        <v>616</v>
      </c>
      <c r="L30" s="46" t="s">
        <v>107</v>
      </c>
      <c r="M30" s="47" t="s">
        <v>66</v>
      </c>
      <c r="N30" s="47"/>
      <c r="O30" s="48" t="s">
        <v>67</v>
      </c>
      <c r="P30" s="48" t="s">
        <v>68</v>
      </c>
    </row>
    <row r="31" spans="1:16" ht="12.75" customHeight="1" thickBot="1" x14ac:dyDescent="0.25">
      <c r="A31" s="9" t="str">
        <f t="shared" si="0"/>
        <v> PZ 8.54 </v>
      </c>
      <c r="B31" s="16" t="str">
        <f t="shared" si="1"/>
        <v>I</v>
      </c>
      <c r="C31" s="9">
        <f t="shared" si="2"/>
        <v>29320.129000000001</v>
      </c>
      <c r="D31" s="14" t="str">
        <f t="shared" si="3"/>
        <v>vis</v>
      </c>
      <c r="E31" s="45">
        <f>VLOOKUP(C31,Active!C$21:E$973,3,FALSE)</f>
        <v>1339.0000196987937</v>
      </c>
      <c r="F31" s="16" t="s">
        <v>61</v>
      </c>
      <c r="G31" s="14" t="str">
        <f t="shared" si="4"/>
        <v>29320.129</v>
      </c>
      <c r="H31" s="9">
        <f t="shared" si="5"/>
        <v>1339</v>
      </c>
      <c r="I31" s="46" t="s">
        <v>108</v>
      </c>
      <c r="J31" s="47" t="s">
        <v>109</v>
      </c>
      <c r="K31" s="46">
        <v>1339</v>
      </c>
      <c r="L31" s="46" t="s">
        <v>110</v>
      </c>
      <c r="M31" s="47" t="s">
        <v>111</v>
      </c>
      <c r="N31" s="47"/>
      <c r="O31" s="48" t="s">
        <v>112</v>
      </c>
      <c r="P31" s="48" t="s">
        <v>113</v>
      </c>
    </row>
    <row r="32" spans="1:16" ht="12.75" customHeight="1" thickBot="1" x14ac:dyDescent="0.25">
      <c r="A32" s="9" t="str">
        <f t="shared" si="0"/>
        <v> IODE 4.2.292 </v>
      </c>
      <c r="B32" s="16" t="str">
        <f t="shared" si="1"/>
        <v>I</v>
      </c>
      <c r="C32" s="9">
        <f t="shared" si="2"/>
        <v>31347.309000000001</v>
      </c>
      <c r="D32" s="14" t="str">
        <f t="shared" si="3"/>
        <v>vis</v>
      </c>
      <c r="E32" s="45">
        <f>VLOOKUP(C32,Active!C$21:E$973,3,FALSE)</f>
        <v>2122.0000378525842</v>
      </c>
      <c r="F32" s="16" t="s">
        <v>61</v>
      </c>
      <c r="G32" s="14" t="str">
        <f t="shared" si="4"/>
        <v>31347.309</v>
      </c>
      <c r="H32" s="9">
        <f t="shared" si="5"/>
        <v>2122</v>
      </c>
      <c r="I32" s="46" t="s">
        <v>114</v>
      </c>
      <c r="J32" s="47" t="s">
        <v>115</v>
      </c>
      <c r="K32" s="46">
        <v>2122</v>
      </c>
      <c r="L32" s="46" t="s">
        <v>110</v>
      </c>
      <c r="M32" s="47" t="s">
        <v>111</v>
      </c>
      <c r="N32" s="47"/>
      <c r="O32" s="48" t="s">
        <v>116</v>
      </c>
      <c r="P32" s="48" t="s">
        <v>117</v>
      </c>
    </row>
    <row r="33" spans="1:16" ht="12.75" customHeight="1" thickBot="1" x14ac:dyDescent="0.25">
      <c r="A33" s="9" t="str">
        <f t="shared" si="0"/>
        <v> BBS 119 </v>
      </c>
      <c r="B33" s="16" t="str">
        <f t="shared" si="1"/>
        <v>I</v>
      </c>
      <c r="C33" s="9">
        <f t="shared" si="2"/>
        <v>51018.546999999999</v>
      </c>
      <c r="D33" s="14" t="str">
        <f t="shared" si="3"/>
        <v>vis</v>
      </c>
      <c r="E33" s="45">
        <f>VLOOKUP(C33,Active!C$21:E$973,3,FALSE)</f>
        <v>9720.0326304726423</v>
      </c>
      <c r="F33" s="16" t="s">
        <v>61</v>
      </c>
      <c r="G33" s="14" t="str">
        <f t="shared" si="4"/>
        <v>51018.547</v>
      </c>
      <c r="H33" s="9">
        <f t="shared" si="5"/>
        <v>9720</v>
      </c>
      <c r="I33" s="46" t="s">
        <v>128</v>
      </c>
      <c r="J33" s="47" t="s">
        <v>129</v>
      </c>
      <c r="K33" s="46">
        <v>9720</v>
      </c>
      <c r="L33" s="46" t="s">
        <v>130</v>
      </c>
      <c r="M33" s="47" t="s">
        <v>111</v>
      </c>
      <c r="N33" s="47"/>
      <c r="O33" s="48" t="s">
        <v>126</v>
      </c>
      <c r="P33" s="48" t="s">
        <v>131</v>
      </c>
    </row>
    <row r="34" spans="1:16" ht="12.75" customHeight="1" thickBot="1" x14ac:dyDescent="0.25">
      <c r="A34" s="9" t="str">
        <f t="shared" si="0"/>
        <v> BBS 122 </v>
      </c>
      <c r="B34" s="16" t="str">
        <f t="shared" si="1"/>
        <v>I</v>
      </c>
      <c r="C34" s="9">
        <f t="shared" si="2"/>
        <v>51549.330099999999</v>
      </c>
      <c r="D34" s="14" t="str">
        <f t="shared" si="3"/>
        <v>vis</v>
      </c>
      <c r="E34" s="45">
        <f>VLOOKUP(C34,Active!C$21:E$973,3,FALSE)</f>
        <v>9925.0480592632412</v>
      </c>
      <c r="F34" s="16" t="s">
        <v>61</v>
      </c>
      <c r="G34" s="14" t="str">
        <f t="shared" si="4"/>
        <v>51549.3301</v>
      </c>
      <c r="H34" s="9">
        <f t="shared" si="5"/>
        <v>9925</v>
      </c>
      <c r="I34" s="46" t="s">
        <v>132</v>
      </c>
      <c r="J34" s="47" t="s">
        <v>133</v>
      </c>
      <c r="K34" s="46">
        <v>9925</v>
      </c>
      <c r="L34" s="46" t="s">
        <v>134</v>
      </c>
      <c r="M34" s="47" t="s">
        <v>135</v>
      </c>
      <c r="N34" s="47" t="s">
        <v>136</v>
      </c>
      <c r="O34" s="48" t="s">
        <v>137</v>
      </c>
      <c r="P34" s="48" t="s">
        <v>138</v>
      </c>
    </row>
    <row r="35" spans="1:16" ht="12.75" customHeight="1" thickBot="1" x14ac:dyDescent="0.25">
      <c r="A35" s="9" t="str">
        <f t="shared" si="0"/>
        <v> BBS 123 </v>
      </c>
      <c r="B35" s="16" t="str">
        <f t="shared" si="1"/>
        <v>I</v>
      </c>
      <c r="C35" s="9">
        <f t="shared" si="2"/>
        <v>51769.372000000003</v>
      </c>
      <c r="D35" s="14" t="str">
        <f t="shared" si="3"/>
        <v>vis</v>
      </c>
      <c r="E35" s="45">
        <f>VLOOKUP(C35,Active!C$21:E$973,3,FALSE)</f>
        <v>10010.039432350286</v>
      </c>
      <c r="F35" s="16" t="s">
        <v>61</v>
      </c>
      <c r="G35" s="14" t="str">
        <f t="shared" si="4"/>
        <v>51769.372</v>
      </c>
      <c r="H35" s="9">
        <f t="shared" si="5"/>
        <v>10010</v>
      </c>
      <c r="I35" s="46" t="s">
        <v>139</v>
      </c>
      <c r="J35" s="47" t="s">
        <v>140</v>
      </c>
      <c r="K35" s="46">
        <v>10010</v>
      </c>
      <c r="L35" s="46" t="s">
        <v>141</v>
      </c>
      <c r="M35" s="47" t="s">
        <v>135</v>
      </c>
      <c r="N35" s="47" t="s">
        <v>136</v>
      </c>
      <c r="O35" s="48" t="s">
        <v>137</v>
      </c>
      <c r="P35" s="48" t="s">
        <v>142</v>
      </c>
    </row>
    <row r="36" spans="1:16" ht="12.75" customHeight="1" thickBot="1" x14ac:dyDescent="0.25">
      <c r="A36" s="9" t="str">
        <f t="shared" si="0"/>
        <v>BAVM 171 </v>
      </c>
      <c r="B36" s="16" t="str">
        <f t="shared" si="1"/>
        <v>I</v>
      </c>
      <c r="C36" s="9">
        <f t="shared" si="2"/>
        <v>52877.455000000002</v>
      </c>
      <c r="D36" s="14" t="str">
        <f t="shared" si="3"/>
        <v>vis</v>
      </c>
      <c r="E36" s="45">
        <f>VLOOKUP(C36,Active!C$21:E$973,3,FALSE)</f>
        <v>10438.03744393086</v>
      </c>
      <c r="F36" s="16" t="s">
        <v>61</v>
      </c>
      <c r="G36" s="14" t="str">
        <f t="shared" si="4"/>
        <v>52877.455</v>
      </c>
      <c r="H36" s="9">
        <f t="shared" si="5"/>
        <v>10438</v>
      </c>
      <c r="I36" s="46" t="s">
        <v>143</v>
      </c>
      <c r="J36" s="47" t="s">
        <v>144</v>
      </c>
      <c r="K36" s="46">
        <v>10438</v>
      </c>
      <c r="L36" s="46" t="s">
        <v>145</v>
      </c>
      <c r="M36" s="47" t="s">
        <v>111</v>
      </c>
      <c r="N36" s="47"/>
      <c r="O36" s="48" t="s">
        <v>146</v>
      </c>
      <c r="P36" s="49" t="s">
        <v>147</v>
      </c>
    </row>
    <row r="37" spans="1:16" ht="12.75" customHeight="1" thickBot="1" x14ac:dyDescent="0.25">
      <c r="A37" s="9" t="str">
        <f t="shared" si="0"/>
        <v>BAVM 212 </v>
      </c>
      <c r="B37" s="16" t="str">
        <f t="shared" si="1"/>
        <v>II</v>
      </c>
      <c r="C37" s="9">
        <f t="shared" si="2"/>
        <v>55154.4139</v>
      </c>
      <c r="D37" s="14" t="str">
        <f t="shared" si="3"/>
        <v>vis</v>
      </c>
      <c r="E37" s="45">
        <f>VLOOKUP(C37,Active!C$21:E$973,3,FALSE)</f>
        <v>11317.514776992271</v>
      </c>
      <c r="F37" s="16" t="s">
        <v>61</v>
      </c>
      <c r="G37" s="14" t="str">
        <f t="shared" si="4"/>
        <v>55154.4139</v>
      </c>
      <c r="H37" s="9">
        <f t="shared" si="5"/>
        <v>11317.5</v>
      </c>
      <c r="I37" s="46" t="s">
        <v>162</v>
      </c>
      <c r="J37" s="47" t="s">
        <v>163</v>
      </c>
      <c r="K37" s="46" t="s">
        <v>164</v>
      </c>
      <c r="L37" s="46" t="s">
        <v>165</v>
      </c>
      <c r="M37" s="47" t="s">
        <v>151</v>
      </c>
      <c r="N37" s="47" t="s">
        <v>152</v>
      </c>
      <c r="O37" s="48" t="s">
        <v>166</v>
      </c>
      <c r="P37" s="49" t="s">
        <v>167</v>
      </c>
    </row>
    <row r="38" spans="1:16" ht="12.75" customHeight="1" thickBot="1" x14ac:dyDescent="0.25">
      <c r="A38" s="9" t="str">
        <f t="shared" si="0"/>
        <v>BAVM 225 </v>
      </c>
      <c r="B38" s="16" t="str">
        <f t="shared" si="1"/>
        <v>I</v>
      </c>
      <c r="C38" s="9">
        <f t="shared" si="2"/>
        <v>55857.361499999999</v>
      </c>
      <c r="D38" s="14" t="str">
        <f t="shared" si="3"/>
        <v>vis</v>
      </c>
      <c r="E38" s="45">
        <f>VLOOKUP(C38,Active!C$21:E$973,3,FALSE)</f>
        <v>11589.028891950569</v>
      </c>
      <c r="F38" s="16" t="s">
        <v>61</v>
      </c>
      <c r="G38" s="14" t="str">
        <f t="shared" si="4"/>
        <v>55857.3615</v>
      </c>
      <c r="H38" s="9">
        <f t="shared" si="5"/>
        <v>11589</v>
      </c>
      <c r="I38" s="46" t="s">
        <v>168</v>
      </c>
      <c r="J38" s="47" t="s">
        <v>169</v>
      </c>
      <c r="K38" s="46" t="s">
        <v>170</v>
      </c>
      <c r="L38" s="46" t="s">
        <v>171</v>
      </c>
      <c r="M38" s="47" t="s">
        <v>151</v>
      </c>
      <c r="N38" s="47" t="s">
        <v>61</v>
      </c>
      <c r="O38" s="48" t="s">
        <v>172</v>
      </c>
      <c r="P38" s="49" t="s">
        <v>173</v>
      </c>
    </row>
    <row r="39" spans="1:16" x14ac:dyDescent="0.2">
      <c r="B39" s="16"/>
      <c r="F39" s="16"/>
    </row>
    <row r="40" spans="1:16" x14ac:dyDescent="0.2">
      <c r="B40" s="16"/>
      <c r="F40" s="16"/>
    </row>
    <row r="41" spans="1:16" x14ac:dyDescent="0.2">
      <c r="B41" s="16"/>
      <c r="F41" s="16"/>
    </row>
    <row r="42" spans="1:16" x14ac:dyDescent="0.2">
      <c r="B42" s="16"/>
      <c r="F42" s="16"/>
    </row>
    <row r="43" spans="1:16" x14ac:dyDescent="0.2">
      <c r="B43" s="16"/>
      <c r="F43" s="16"/>
    </row>
    <row r="44" spans="1:16" x14ac:dyDescent="0.2">
      <c r="B44" s="16"/>
      <c r="F44" s="16"/>
    </row>
    <row r="45" spans="1:16" x14ac:dyDescent="0.2">
      <c r="B45" s="16"/>
      <c r="F45" s="16"/>
    </row>
    <row r="46" spans="1:16" x14ac:dyDescent="0.2">
      <c r="B46" s="16"/>
      <c r="F46" s="16"/>
    </row>
    <row r="47" spans="1:16" x14ac:dyDescent="0.2">
      <c r="B47" s="16"/>
      <c r="F47" s="16"/>
    </row>
    <row r="48" spans="1:1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</sheetData>
  <phoneticPr fontId="7" type="noConversion"/>
  <hyperlinks>
    <hyperlink ref="P36" r:id="rId1" display="http://www.bav-astro.de/sfs/BAVM_link.php?BAVMnr=171"/>
    <hyperlink ref="P13" r:id="rId2" display="http://www.bav-astro.de/sfs/BAVM_link.php?BAVMnr=183"/>
    <hyperlink ref="P14" r:id="rId3" display="http://www.konkoly.hu/cgi-bin/IBVS?5820"/>
    <hyperlink ref="P37" r:id="rId4" display="http://www.bav-astro.de/sfs/BAVM_link.php?BAVMnr=212"/>
    <hyperlink ref="P38" r:id="rId5" display="http://www.bav-astro.de/sfs/BAVM_link.php?BAVMnr=225"/>
    <hyperlink ref="P15" r:id="rId6" display="http://www.konkoly.hu/cgi-bin/IBVS?6042"/>
    <hyperlink ref="P16" r:id="rId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2023-01-21T05:07:14Z</dcterms:modified>
</cp:coreProperties>
</file>