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FDE7204-1D3B-433C-BE2F-B9CD4204C3BB}" xr6:coauthVersionLast="47" xr6:coauthVersionMax="47" xr10:uidLastSave="{00000000-0000-0000-0000-000000000000}"/>
  <bookViews>
    <workbookView xWindow="13815" yWindow="360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K47" i="1" s="1"/>
  <c r="Q47" i="1"/>
  <c r="Q46" i="1"/>
  <c r="D9" i="1"/>
  <c r="C9" i="1"/>
  <c r="Q45" i="1"/>
  <c r="Q44" i="1"/>
  <c r="Q43" i="1"/>
  <c r="Q41" i="1"/>
  <c r="Q40" i="1"/>
  <c r="Q39" i="1"/>
  <c r="Q36" i="1"/>
  <c r="Q35" i="1"/>
  <c r="Q34" i="1"/>
  <c r="Q31" i="1"/>
  <c r="Q28" i="1"/>
  <c r="Q27" i="1"/>
  <c r="Q26" i="1"/>
  <c r="Q25" i="1"/>
  <c r="Q24" i="1"/>
  <c r="Q23" i="1"/>
  <c r="Q22" i="1"/>
  <c r="Q21" i="1"/>
  <c r="G33" i="2"/>
  <c r="C33" i="2"/>
  <c r="G32" i="2"/>
  <c r="C32" i="2"/>
  <c r="G16" i="2"/>
  <c r="C16" i="2"/>
  <c r="G31" i="2"/>
  <c r="C31" i="2"/>
  <c r="G30" i="2"/>
  <c r="C30" i="2"/>
  <c r="G29" i="2"/>
  <c r="C29" i="2"/>
  <c r="G15" i="2"/>
  <c r="C15" i="2"/>
  <c r="G14" i="2"/>
  <c r="C14" i="2"/>
  <c r="G28" i="2"/>
  <c r="C28" i="2"/>
  <c r="G27" i="2"/>
  <c r="C27" i="2"/>
  <c r="G26" i="2"/>
  <c r="C26" i="2"/>
  <c r="G13" i="2"/>
  <c r="C13" i="2"/>
  <c r="G25" i="2"/>
  <c r="C25" i="2"/>
  <c r="G12" i="2"/>
  <c r="C12" i="2"/>
  <c r="G11" i="2"/>
  <c r="C11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33" i="2"/>
  <c r="B33" i="2"/>
  <c r="D33" i="2"/>
  <c r="A33" i="2"/>
  <c r="H32" i="2"/>
  <c r="D32" i="2"/>
  <c r="B32" i="2"/>
  <c r="A32" i="2"/>
  <c r="H16" i="2"/>
  <c r="B16" i="2"/>
  <c r="D16" i="2"/>
  <c r="A16" i="2"/>
  <c r="H31" i="2"/>
  <c r="D31" i="2"/>
  <c r="B31" i="2"/>
  <c r="A31" i="2"/>
  <c r="H30" i="2"/>
  <c r="B30" i="2"/>
  <c r="D30" i="2"/>
  <c r="A30" i="2"/>
  <c r="H29" i="2"/>
  <c r="D29" i="2"/>
  <c r="B29" i="2"/>
  <c r="A29" i="2"/>
  <c r="H15" i="2"/>
  <c r="B15" i="2"/>
  <c r="D15" i="2"/>
  <c r="A15" i="2"/>
  <c r="H14" i="2"/>
  <c r="D14" i="2"/>
  <c r="B14" i="2"/>
  <c r="A14" i="2"/>
  <c r="H28" i="2"/>
  <c r="B28" i="2"/>
  <c r="D28" i="2"/>
  <c r="A28" i="2"/>
  <c r="H27" i="2"/>
  <c r="D27" i="2"/>
  <c r="B27" i="2"/>
  <c r="A27" i="2"/>
  <c r="H26" i="2"/>
  <c r="B26" i="2"/>
  <c r="D26" i="2"/>
  <c r="A26" i="2"/>
  <c r="H13" i="2"/>
  <c r="D13" i="2"/>
  <c r="B13" i="2"/>
  <c r="A13" i="2"/>
  <c r="H25" i="2"/>
  <c r="B25" i="2"/>
  <c r="D25" i="2"/>
  <c r="A25" i="2"/>
  <c r="H12" i="2"/>
  <c r="D12" i="2"/>
  <c r="B12" i="2"/>
  <c r="A12" i="2"/>
  <c r="H11" i="2"/>
  <c r="B11" i="2"/>
  <c r="D11" i="2"/>
  <c r="A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F16" i="1"/>
  <c r="F17" i="1" s="1"/>
  <c r="Q42" i="1"/>
  <c r="C17" i="1"/>
  <c r="Q37" i="1"/>
  <c r="Q38" i="1"/>
  <c r="Q33" i="1"/>
  <c r="C7" i="1"/>
  <c r="E46" i="1"/>
  <c r="F46" i="1"/>
  <c r="C8" i="1"/>
  <c r="Q29" i="1"/>
  <c r="Q30" i="1"/>
  <c r="Q32" i="1"/>
  <c r="E16" i="2"/>
  <c r="E32" i="2"/>
  <c r="E15" i="2"/>
  <c r="E21" i="2"/>
  <c r="E29" i="2"/>
  <c r="E18" i="2"/>
  <c r="E27" i="2"/>
  <c r="E31" i="2"/>
  <c r="E44" i="1"/>
  <c r="F44" i="1"/>
  <c r="G44" i="1"/>
  <c r="K44" i="1"/>
  <c r="E35" i="1"/>
  <c r="F35" i="1"/>
  <c r="E26" i="1"/>
  <c r="F26" i="1"/>
  <c r="G26" i="1"/>
  <c r="H26" i="1"/>
  <c r="G43" i="1"/>
  <c r="K43" i="1"/>
  <c r="E41" i="1"/>
  <c r="F41" i="1"/>
  <c r="E32" i="1"/>
  <c r="F32" i="1"/>
  <c r="G32" i="1"/>
  <c r="H32" i="1"/>
  <c r="G25" i="1"/>
  <c r="H25" i="1"/>
  <c r="E23" i="1"/>
  <c r="F23" i="1"/>
  <c r="G39" i="1"/>
  <c r="K39" i="1"/>
  <c r="E37" i="1"/>
  <c r="F37" i="1"/>
  <c r="G37" i="1"/>
  <c r="J37" i="1"/>
  <c r="E28" i="1"/>
  <c r="F28" i="1"/>
  <c r="G28" i="1"/>
  <c r="H28" i="1"/>
  <c r="G22" i="1"/>
  <c r="H22" i="1"/>
  <c r="E40" i="1"/>
  <c r="F40" i="1"/>
  <c r="U40" i="1"/>
  <c r="E43" i="1"/>
  <c r="F43" i="1"/>
  <c r="G36" i="1"/>
  <c r="K36" i="1"/>
  <c r="E34" i="1"/>
  <c r="F34" i="1"/>
  <c r="G34" i="1"/>
  <c r="K34" i="1"/>
  <c r="E25" i="1"/>
  <c r="F25" i="1"/>
  <c r="G42" i="1"/>
  <c r="K42" i="1"/>
  <c r="E39" i="1"/>
  <c r="F39" i="1"/>
  <c r="E31" i="1"/>
  <c r="F31" i="1"/>
  <c r="G31" i="1"/>
  <c r="I31" i="1"/>
  <c r="G24" i="1"/>
  <c r="H24" i="1"/>
  <c r="E22" i="1"/>
  <c r="F22" i="1"/>
  <c r="E30" i="1"/>
  <c r="F30" i="1"/>
  <c r="G38" i="1"/>
  <c r="J38" i="1"/>
  <c r="E36" i="1"/>
  <c r="F36" i="1"/>
  <c r="E27" i="1"/>
  <c r="F27" i="1"/>
  <c r="G27" i="1"/>
  <c r="H27" i="1"/>
  <c r="G21" i="1"/>
  <c r="G46" i="1"/>
  <c r="K46" i="1"/>
  <c r="E42" i="1"/>
  <c r="F42" i="1"/>
  <c r="G35" i="1"/>
  <c r="K35" i="1"/>
  <c r="E33" i="1"/>
  <c r="F33" i="1"/>
  <c r="G33" i="1"/>
  <c r="K33" i="1"/>
  <c r="E24" i="1"/>
  <c r="F24" i="1"/>
  <c r="E45" i="1"/>
  <c r="F45" i="1"/>
  <c r="G45" i="1"/>
  <c r="K45" i="1"/>
  <c r="G41" i="1"/>
  <c r="K41" i="1"/>
  <c r="E38" i="1"/>
  <c r="F38" i="1"/>
  <c r="E29" i="1"/>
  <c r="F29" i="1"/>
  <c r="G29" i="1"/>
  <c r="I29" i="1"/>
  <c r="G23" i="1"/>
  <c r="H23" i="1"/>
  <c r="E21" i="1"/>
  <c r="F21" i="1"/>
  <c r="E23" i="2"/>
  <c r="E33" i="2"/>
  <c r="H21" i="1"/>
  <c r="E11" i="2"/>
  <c r="E22" i="2"/>
  <c r="E24" i="2"/>
  <c r="E17" i="2"/>
  <c r="E14" i="2"/>
  <c r="E30" i="2"/>
  <c r="E25" i="2"/>
  <c r="E12" i="2"/>
  <c r="E26" i="2"/>
  <c r="E28" i="2"/>
  <c r="E13" i="2"/>
  <c r="E20" i="2"/>
  <c r="E19" i="2"/>
  <c r="C12" i="1"/>
  <c r="C11" i="1"/>
  <c r="O47" i="1" l="1"/>
  <c r="O42" i="1"/>
  <c r="O45" i="1"/>
  <c r="O24" i="1"/>
  <c r="O25" i="1"/>
  <c r="O28" i="1"/>
  <c r="O34" i="1"/>
  <c r="O32" i="1"/>
  <c r="O38" i="1"/>
  <c r="O22" i="1"/>
  <c r="O37" i="1"/>
  <c r="O44" i="1"/>
  <c r="O29" i="1"/>
  <c r="O27" i="1"/>
  <c r="O31" i="1"/>
  <c r="O41" i="1"/>
  <c r="O26" i="1"/>
  <c r="O43" i="1"/>
  <c r="O33" i="1"/>
  <c r="O21" i="1"/>
  <c r="O35" i="1"/>
  <c r="O40" i="1"/>
  <c r="O39" i="1"/>
  <c r="O46" i="1"/>
  <c r="C15" i="1"/>
  <c r="O23" i="1"/>
  <c r="O30" i="1"/>
  <c r="O3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<sst xmlns="http://schemas.openxmlformats.org/spreadsheetml/2006/main" count="286" uniqueCount="175">
  <si>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</si>
  <si>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</si>
  <si>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</si>
  <si>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</si>
  <si>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</si>
  <si>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</si>
  <si>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</si>
  <si>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</si>
  <si>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</si>
  <si>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</si>
  <si>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</si>
  <si>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</si>
  <si>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</si>
  <si>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</si>
  <si>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</si>
  <si>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</si>
  <si>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</si>
  <si>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</si>
  <si>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</si>
  <si>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</si>
  <si>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</si>
  <si>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</si>
  <si>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</si>
  <si>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</si>
  <si>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</si>
  <si>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</si>
  <si>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</si>
  <si>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</si>
  <si>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</si>
  <si>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</si>
  <si>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Bull.17</t>
  </si>
  <si>
    <t>B</t>
  </si>
  <si>
    <t>BBSAG Bull.51</t>
  </si>
  <si>
    <t>II</t>
  </si>
  <si>
    <t>IBVS 4887</t>
  </si>
  <si>
    <t># of data points:</t>
  </si>
  <si>
    <t>ER Peg / GSC 02754-00276</t>
  </si>
  <si>
    <t>IBVS 5731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</si>
  <si>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</si>
  <si>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</si>
  <si>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</si>
  <si>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</si>
  <si>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</si>
  <si>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</si>
  <si>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OEJV 0160</t>
  </si>
  <si>
    <t>I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</si>
  <si>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</si>
  <si>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</si>
  <si>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</si>
  <si>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</si>
  <si>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</si>
  <si>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</si>
  <si>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</si>
  <si>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</si>
  <si>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</si>
  <si>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</si>
  <si>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</si>
  <si>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</si>
  <si>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</si>
  <si>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</si>
  <si>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2426619.486 </t>
  </si>
  <si>
    <t> 04.10.1931 23:39 </t>
  </si>
  <si>
    <t> -0.011 </t>
  </si>
  <si>
    <t> R.Kippenhahn </t>
  </si>
  <si>
    <t> AN 282.77 </t>
  </si>
  <si>
    <t>2433898.43 </t>
  </si>
  <si>
    <t> 08.09.1951 22:19 </t>
  </si>
  <si>
    <t> -0.01 </t>
  </si>
  <si>
    <t>P </t>
  </si>
  <si>
    <t> W.Zessewitsch </t>
  </si>
  <si>
    <t> AC 173.15 </t>
  </si>
  <si>
    <t>2435404.33 </t>
  </si>
  <si>
    <t> 23.10.1955 19:55 </t>
  </si>
  <si>
    <t> 0.06 </t>
  </si>
  <si>
    <t>V </t>
  </si>
  <si>
    <t>2435702.29 </t>
  </si>
  <si>
    <t> 16.08.1956 18:57 </t>
  </si>
  <si>
    <t> 0.04 </t>
  </si>
  <si>
    <t>2435720.50 </t>
  </si>
  <si>
    <t> 04.09.1956 00:00 </t>
  </si>
  <si>
    <t> 0.05 </t>
  </si>
  <si>
    <t>2435727.25 </t>
  </si>
  <si>
    <t> 10.09.1956 18:00 </t>
  </si>
  <si>
    <t> -0.03 </t>
  </si>
  <si>
    <t>2439057.423 </t>
  </si>
  <si>
    <t> 23.10.1965 22:09 </t>
  </si>
  <si>
    <t> 0.030 </t>
  </si>
  <si>
    <t> K.Häussler </t>
  </si>
  <si>
    <t> HABZ 82 </t>
  </si>
  <si>
    <t>2439389.477 </t>
  </si>
  <si>
    <t> 20.09.1966 23:26 </t>
  </si>
  <si>
    <t> -0.017 </t>
  </si>
  <si>
    <t>2442303.362 </t>
  </si>
  <si>
    <t> 12.09.1974 20:41 </t>
  </si>
  <si>
    <t> 0.015 </t>
  </si>
  <si>
    <t> R.Diethelm </t>
  </si>
  <si>
    <t> BBS 17 </t>
  </si>
  <si>
    <t>2444541.269 </t>
  </si>
  <si>
    <t> 28.10.1980 18:27 </t>
  </si>
  <si>
    <t> -0.353 </t>
  </si>
  <si>
    <t> BBS 51 </t>
  </si>
  <si>
    <t>2445526.547 </t>
  </si>
  <si>
    <t> 11.07.1983 01:07 </t>
  </si>
  <si>
    <t> -0.007 </t>
  </si>
  <si>
    <t> R.Germann </t>
  </si>
  <si>
    <t> BBS 67 </t>
  </si>
  <si>
    <t>2450708.3775 </t>
  </si>
  <si>
    <t> 16.09.1997 21:03 </t>
  </si>
  <si>
    <t> 0.1252 </t>
  </si>
  <si>
    <t>E </t>
  </si>
  <si>
    <t>?</t>
  </si>
  <si>
    <t> J.Safar </t>
  </si>
  <si>
    <t>IBVS 4887 </t>
  </si>
  <si>
    <t>2451040.4785 </t>
  </si>
  <si>
    <t> 14.08.1998 23:29 </t>
  </si>
  <si>
    <t> 0.1244 </t>
  </si>
  <si>
    <t> K.Koss </t>
  </si>
  <si>
    <t> BRNO 32 </t>
  </si>
  <si>
    <t>2452141.424 </t>
  </si>
  <si>
    <t> 19.08.2001 22:10 </t>
  </si>
  <si>
    <t> 0.130 </t>
  </si>
  <si>
    <t> F.Agerer </t>
  </si>
  <si>
    <t>BAVM 152 </t>
  </si>
  <si>
    <t>2452150.544 </t>
  </si>
  <si>
    <t> 29.08.2001 01:03 </t>
  </si>
  <si>
    <t> 0.151 </t>
  </si>
  <si>
    <t> BBS 126 </t>
  </si>
  <si>
    <t>2453656.3490 </t>
  </si>
  <si>
    <t> 12.10.2005 20:22 </t>
  </si>
  <si>
    <t>C </t>
  </si>
  <si>
    <t>o</t>
  </si>
  <si>
    <t> H.Jungbluth </t>
  </si>
  <si>
    <t>BAVM 178 </t>
  </si>
  <si>
    <t>2453656.3593 </t>
  </si>
  <si>
    <t> 12.10.2005 20:37 </t>
  </si>
  <si>
    <t> 0.1347 </t>
  </si>
  <si>
    <t>2454422.9235 </t>
  </si>
  <si>
    <t> 18.11.2007 10:09 </t>
  </si>
  <si>
    <t> 0.1351 </t>
  </si>
  <si>
    <t>Ic</t>
  </si>
  <si>
    <t> K.Nakajima </t>
  </si>
  <si>
    <t>VSB 46 </t>
  </si>
  <si>
    <t>2454682.3921 </t>
  </si>
  <si>
    <t> 03.08.2008 21:24 </t>
  </si>
  <si>
    <t> 0.2914 </t>
  </si>
  <si>
    <t>-I</t>
  </si>
  <si>
    <t> P.Frank </t>
  </si>
  <si>
    <t>BAVM 203 </t>
  </si>
  <si>
    <t>2455184.9465 </t>
  </si>
  <si>
    <t> 19.12.2009 10:42 </t>
  </si>
  <si>
    <t>4246</t>
  </si>
  <si>
    <t> 0.1437 </t>
  </si>
  <si>
    <t> H.Itoh </t>
  </si>
  <si>
    <t>VSB 50 </t>
  </si>
  <si>
    <t>2455794.56418 </t>
  </si>
  <si>
    <t> 21.08.2011 01:32 </t>
  </si>
  <si>
    <t>4514</t>
  </si>
  <si>
    <t> 0.14980 </t>
  </si>
  <si>
    <t>R</t>
  </si>
  <si>
    <t> H.Ku?akova </t>
  </si>
  <si>
    <t>OEJV 0160 </t>
  </si>
  <si>
    <t>2455826.4021 </t>
  </si>
  <si>
    <t> 21.09.2011 21:39 </t>
  </si>
  <si>
    <t>4528</t>
  </si>
  <si>
    <t> 0.1423 </t>
  </si>
  <si>
    <t> D.Böhme </t>
  </si>
  <si>
    <t>BAVM 225 </t>
  </si>
  <si>
    <t>2455851.4239 </t>
  </si>
  <si>
    <t> 16.10.2011 22:10 </t>
  </si>
  <si>
    <t>4539</t>
  </si>
  <si>
    <t> 0.1428 </t>
  </si>
  <si>
    <t>BAD?</t>
  </si>
  <si>
    <t>OEJV 0179</t>
  </si>
  <si>
    <t>Start of linear fit &gt;&gt;&gt;&gt;&gt;&gt;&gt;&gt;&gt;&gt;&gt;&gt;&gt;&gt;&gt;&gt;&gt;&gt;&gt;&gt;&gt;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</si>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</sst>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3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wrapText="1"/>
    </xf>
    <xf numFmtId="0" fontId="5" fillId="0" borderId="11" xfId="0" applyFont="1" applyBorder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5" fillId="24" borderId="18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10" xfId="0" applyFont="1" applyBorder="1" applyAlignment="1">
      <alignment horizontal="center"/>
    </xf>
    <xf numFmtId="0" fontId="32" fillId="0" borderId="0" xfId="42" applyFont="1"/>
    <xf numFmtId="0" fontId="33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ER Peg - O-C Diagr.</a:t>
            </a:r>
          </a:p>
        </c:rich>
      </c:tx>
      <c:layout>
        <c:manualLayout>
          <c:xMode val="edge"/>
          <c:yMode val="edge"/>
          <c:x val="0.3902442036926158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8186247552462"/>
          <c:y val="0.14769252958613219"/>
          <c:w val="0.8350077585633172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-1.0959999995975522E-2</c:v>
                </c:pt>
                <c:pt idx="1">
                  <c:v>-1.0959999992337544E-2</c:v>
                </c:pt>
                <c:pt idx="2">
                  <c:v>5.7500000002619345E-2</c:v>
                </c:pt>
                <c:pt idx="3">
                  <c:v>3.5730000003241003E-2</c:v>
                </c:pt>
                <c:pt idx="4">
                  <c:v>4.837000000406988E-2</c:v>
                </c:pt>
                <c:pt idx="5">
                  <c:v>-2.5639999992563389E-2</c:v>
                </c:pt>
                <c:pt idx="6">
                  <c:v>3.04800000085379E-2</c:v>
                </c:pt>
                <c:pt idx="7">
                  <c:v>-1.7339999998512212E-2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1-4E25-B5B5-6DD64B1652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8">
                  <c:v>1.5390000007755589E-2</c:v>
                </c:pt>
                <c:pt idx="10">
                  <c:v>-6.9999999977881089E-3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81-4E25-B5B5-6DD64B1652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6">
                  <c:v>0.12442000000737607</c:v>
                </c:pt>
                <c:pt idx="17">
                  <c:v>0.13472000000183471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81-4E25-B5B5-6DD64B1652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2">
                  <c:v>0.12524000000848901</c:v>
                </c:pt>
                <c:pt idx="13">
                  <c:v>0.12442000000010012</c:v>
                </c:pt>
                <c:pt idx="14">
                  <c:v>0.12963999999919906</c:v>
                </c:pt>
                <c:pt idx="15">
                  <c:v>0.15096000000630738</c:v>
                </c:pt>
                <c:pt idx="18">
                  <c:v>0.13513000000239117</c:v>
                </c:pt>
                <c:pt idx="20">
                  <c:v>0.14368000000104075</c:v>
                </c:pt>
                <c:pt idx="21">
                  <c:v>0.14980000000650762</c:v>
                </c:pt>
                <c:pt idx="22">
                  <c:v>0.14233999999851221</c:v>
                </c:pt>
                <c:pt idx="23">
                  <c:v>0.14277000000583939</c:v>
                </c:pt>
                <c:pt idx="24">
                  <c:v>0.15893000000505708</c:v>
                </c:pt>
                <c:pt idx="25">
                  <c:v>0.14424999999755528</c:v>
                </c:pt>
                <c:pt idx="26">
                  <c:v>0.14177000000199769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81-4E25-B5B5-6DD64B1652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81-4E25-B5B5-6DD64B1652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81-4E25-B5B5-6DD64B1652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81-4E25-B5B5-6DD64B1652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-4.7159791439469745E-2</c:v>
                </c:pt>
                <c:pt idx="1">
                  <c:v>-1.2906240193281404E-3</c:v>
                </c:pt>
                <c:pt idx="2">
                  <c:v>8.198559990713658E-3</c:v>
                </c:pt>
                <c:pt idx="3">
                  <c:v>1.0076329031975702E-2</c:v>
                </c:pt>
                <c:pt idx="4">
                  <c:v>1.0191001950526059E-2</c:v>
                </c:pt>
                <c:pt idx="5">
                  <c:v>1.0234004294982439E-2</c:v>
                </c:pt>
                <c:pt idx="6">
                  <c:v>3.1219148389697228E-2</c:v>
                </c:pt>
                <c:pt idx="7">
                  <c:v>3.3311929153241188E-2</c:v>
                </c:pt>
                <c:pt idx="8">
                  <c:v>5.1673930236116619E-2</c:v>
                </c:pt>
                <c:pt idx="9">
                  <c:v>6.5778699217810169E-2</c:v>
                </c:pt>
                <c:pt idx="10">
                  <c:v>7.1985370934348078E-2</c:v>
                </c:pt>
                <c:pt idx="11">
                  <c:v>7.1985370934348078E-2</c:v>
                </c:pt>
                <c:pt idx="12">
                  <c:v>0.10463848449156138</c:v>
                </c:pt>
                <c:pt idx="13">
                  <c:v>0.10673126525510535</c:v>
                </c:pt>
                <c:pt idx="14">
                  <c:v>0.11366897682740176</c:v>
                </c:pt>
                <c:pt idx="15">
                  <c:v>0.11372631328667694</c:v>
                </c:pt>
                <c:pt idx="16">
                  <c:v>0.12321549729671874</c:v>
                </c:pt>
                <c:pt idx="17">
                  <c:v>0.12321549729671874</c:v>
                </c:pt>
                <c:pt idx="18">
                  <c:v>0.12804609399065239</c:v>
                </c:pt>
                <c:pt idx="19">
                  <c:v>0.12968018307999493</c:v>
                </c:pt>
                <c:pt idx="20">
                  <c:v>0.13284802245494848</c:v>
                </c:pt>
                <c:pt idx="21">
                  <c:v>0.13668956522638531</c:v>
                </c:pt>
                <c:pt idx="22">
                  <c:v>0.13689024283384843</c:v>
                </c:pt>
                <c:pt idx="23">
                  <c:v>0.13704791809685518</c:v>
                </c:pt>
                <c:pt idx="24">
                  <c:v>0.14862988287044093</c:v>
                </c:pt>
                <c:pt idx="25">
                  <c:v>0.15046464956724659</c:v>
                </c:pt>
                <c:pt idx="26">
                  <c:v>0.15740236113954303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81-4E25-B5B5-6DD64B1652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-0.35288999999465887</c:v>
                </c:pt>
                <c:pt idx="19">
                  <c:v>0.29134999999951106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81-4E25-B5B5-6DD64B165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81240"/>
        <c:axId val="1"/>
      </c:scatterChart>
      <c:valAx>
        <c:axId val="80818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690243525871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4576757532281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8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42626253497364"/>
          <c:y val="0.92000129214617399"/>
          <c:w val="0.690100882296456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0</xdr:rowOff>
    </xdr:from>
    <xdr:to>
      <xdr:col>18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1828FC-4ECB-FD1E-F4DA-25A97081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1.855468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  <c r="C1" s="10"/>
    </row>
    <row r="2" spans="1:6" x14ac:dyDescent="0.2">
      <c r="A2" t="s">
        <v>25</v>
      </c>
      <c r="B2" s="13" t="s">
        <v>38</v>
      </c>
    </row>
    <row r="4" spans="1:6" ht="14.25" thickTop="1" thickBot="1" x14ac:dyDescent="0.25">
      <c r="A4" s="7" t="s">
        <v>1</v>
      </c>
      <c r="C4" s="3">
        <v>45526.553999999996</v>
      </c>
      <c r="D4" s="4">
        <v>2.27467</v>
      </c>
    </row>
    <row r="5" spans="1:6" ht="13.5" thickTop="1" x14ac:dyDescent="0.2">
      <c r="A5" s="14" t="s">
        <v>39</v>
      </c>
      <c r="B5" s="11"/>
      <c r="C5" s="15">
        <v>-9.5</v>
      </c>
      <c r="D5" s="11" t="s">
        <v>40</v>
      </c>
      <c r="E5" s="11"/>
    </row>
    <row r="6" spans="1:6" x14ac:dyDescent="0.2">
      <c r="A6" s="7" t="s">
        <v>2</v>
      </c>
    </row>
    <row r="7" spans="1:6" x14ac:dyDescent="0.2">
      <c r="A7" t="s">
        <v>3</v>
      </c>
      <c r="C7">
        <f>+C4</f>
        <v>45526.553999999996</v>
      </c>
    </row>
    <row r="8" spans="1:6" x14ac:dyDescent="0.2">
      <c r="A8" t="s">
        <v>4</v>
      </c>
      <c r="C8">
        <f>+D4</f>
        <v>2.27467</v>
      </c>
    </row>
    <row r="9" spans="1:6" x14ac:dyDescent="0.2">
      <c r="A9" s="44" t="s">
        <v>173</v>
      </c>
      <c r="B9" s="45">
        <v>21</v>
      </c>
      <c r="C9" s="46" t="str">
        <f>"F"&amp;B9</f>
        <v>F21</v>
      </c>
      <c r="D9" s="10" t="str">
        <f>"G"&amp;B9</f>
        <v>G21</v>
      </c>
    </row>
    <row r="10" spans="1:6" ht="13.5" thickBot="1" x14ac:dyDescent="0.25">
      <c r="A10" s="11"/>
      <c r="B10" s="11"/>
      <c r="C10" s="6" t="s">
        <v>21</v>
      </c>
      <c r="D10" s="6" t="s">
        <v>22</v>
      </c>
      <c r="E10" s="11"/>
    </row>
    <row r="11" spans="1:6" x14ac:dyDescent="0.2">
      <c r="A11" s="11" t="s">
        <v>17</v>
      </c>
      <c r="B11" s="11"/>
      <c r="C11" s="47">
        <f ca="1">INTERCEPT(INDIRECT($D$9):G992,INDIRECT($C$9):F992)</f>
        <v>7.1985370934348078E-2</v>
      </c>
      <c r="D11" s="5"/>
      <c r="E11" s="11"/>
    </row>
    <row r="12" spans="1:6" x14ac:dyDescent="0.2">
      <c r="A12" s="11" t="s">
        <v>18</v>
      </c>
      <c r="B12" s="11"/>
      <c r="C12" s="47">
        <f ca="1">SLOPE(INDIRECT($D$9):G992,INDIRECT($C$9):F992)</f>
        <v>1.4334114818794252E-5</v>
      </c>
      <c r="D12" s="5"/>
      <c r="E12" s="11"/>
    </row>
    <row r="13" spans="1:6" x14ac:dyDescent="0.2">
      <c r="A13" s="11" t="s">
        <v>20</v>
      </c>
      <c r="B13" s="11"/>
      <c r="C13" s="5" t="s">
        <v>15</v>
      </c>
    </row>
    <row r="14" spans="1:6" x14ac:dyDescent="0.2">
      <c r="A14" s="11"/>
      <c r="B14" s="11"/>
      <c r="C14" s="11"/>
    </row>
    <row r="15" spans="1:6" x14ac:dyDescent="0.2">
      <c r="A15" s="16" t="s">
        <v>19</v>
      </c>
      <c r="B15" s="11"/>
      <c r="C15" s="17">
        <f ca="1">(C7+C11)+(C8+C12)*INT(MAX(F21:F3533))</f>
        <v>59081.469932361142</v>
      </c>
      <c r="E15" s="18" t="s">
        <v>46</v>
      </c>
      <c r="F15" s="15">
        <v>1</v>
      </c>
    </row>
    <row r="16" spans="1:6" x14ac:dyDescent="0.2">
      <c r="A16" s="20" t="s">
        <v>5</v>
      </c>
      <c r="B16" s="11"/>
      <c r="C16" s="21">
        <f ca="1">+C8+C12</f>
        <v>2.2746843341148186</v>
      </c>
      <c r="E16" s="18" t="s">
        <v>41</v>
      </c>
      <c r="F16" s="19">
        <f ca="1">NOW()+15018.5+$C$5/24</f>
        <v>59965.755877199073</v>
      </c>
    </row>
    <row r="17" spans="1:30" ht="13.5" thickBot="1" x14ac:dyDescent="0.25">
      <c r="A17" s="18" t="s">
        <v>35</v>
      </c>
      <c r="B17" s="11"/>
      <c r="C17" s="11">
        <f>COUNT(C21:C2191)</f>
        <v>27</v>
      </c>
      <c r="E17" s="18" t="s">
        <v>47</v>
      </c>
      <c r="F17" s="19">
        <f ca="1">ROUND(2*(F16-$C$7)/$C$8,0)/2+F15</f>
        <v>6349</v>
      </c>
    </row>
    <row r="18" spans="1:30" ht="14.25" thickTop="1" thickBot="1" x14ac:dyDescent="0.25">
      <c r="A18" s="20" t="s">
        <v>6</v>
      </c>
      <c r="B18" s="11"/>
      <c r="C18" s="23">
        <f ca="1">+C15</f>
        <v>59081.469932361142</v>
      </c>
      <c r="D18" s="24">
        <f ca="1">+C16</f>
        <v>2.2746843341148186</v>
      </c>
      <c r="E18" s="18" t="s">
        <v>42</v>
      </c>
      <c r="F18" s="10">
        <f ca="1">ROUND(2*(F16-$C$15)/$C$16,0)/2+F15</f>
        <v>390</v>
      </c>
    </row>
    <row r="19" spans="1:30" ht="13.5" thickTop="1" x14ac:dyDescent="0.2">
      <c r="E19" s="18" t="s">
        <v>43</v>
      </c>
      <c r="F19" s="22">
        <f ca="1">+$C$15+$C$16*F18-15018.5-$C$5/24</f>
        <v>44950.49265599926</v>
      </c>
    </row>
    <row r="20" spans="1:30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55</v>
      </c>
      <c r="I20" s="9" t="s">
        <v>58</v>
      </c>
      <c r="J20" s="9" t="s">
        <v>52</v>
      </c>
      <c r="K20" s="9" t="s">
        <v>50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42" t="s">
        <v>171</v>
      </c>
    </row>
    <row r="21" spans="1:30" x14ac:dyDescent="0.2">
      <c r="A21" s="41" t="s">
        <v>64</v>
      </c>
      <c r="B21" s="40" t="s">
        <v>45</v>
      </c>
      <c r="C21" s="41">
        <v>26619.486000000001</v>
      </c>
      <c r="D21" s="25"/>
      <c r="E21">
        <f t="shared" ref="E21:E44" si="0">+(C21-C$7)/C$8</f>
        <v>-8312.0048182813316</v>
      </c>
      <c r="F21">
        <f t="shared" ref="F21:F46" si="1">ROUND(2*E21,0)/2</f>
        <v>-8312</v>
      </c>
      <c r="G21">
        <f t="shared" ref="G21:G29" si="2">+C21-(C$7+F21*C$8)</f>
        <v>-1.0959999995975522E-2</v>
      </c>
      <c r="H21">
        <f t="shared" ref="H21:H28" si="3">+G21</f>
        <v>-1.0959999995975522E-2</v>
      </c>
      <c r="O21">
        <f t="shared" ref="O21:O44" ca="1" si="4">+C$11+C$12*$F21</f>
        <v>-4.7159791439469745E-2</v>
      </c>
      <c r="Q21" s="2">
        <f t="shared" ref="Q21:Q44" si="5">+C21-15018.5</f>
        <v>11600.986000000001</v>
      </c>
    </row>
    <row r="22" spans="1:30" x14ac:dyDescent="0.2">
      <c r="A22" s="41" t="s">
        <v>70</v>
      </c>
      <c r="B22" s="40" t="s">
        <v>45</v>
      </c>
      <c r="C22" s="41">
        <v>33898.43</v>
      </c>
      <c r="D22" s="25"/>
      <c r="E22">
        <f t="shared" si="0"/>
        <v>-5112.0048182813316</v>
      </c>
      <c r="F22">
        <f t="shared" si="1"/>
        <v>-5112</v>
      </c>
      <c r="G22">
        <f t="shared" si="2"/>
        <v>-1.0959999992337544E-2</v>
      </c>
      <c r="H22">
        <f t="shared" si="3"/>
        <v>-1.0959999992337544E-2</v>
      </c>
      <c r="O22">
        <f t="shared" ca="1" si="4"/>
        <v>-1.2906240193281404E-3</v>
      </c>
      <c r="Q22" s="2">
        <f t="shared" si="5"/>
        <v>18879.93</v>
      </c>
    </row>
    <row r="23" spans="1:30" x14ac:dyDescent="0.2">
      <c r="A23" s="41" t="s">
        <v>70</v>
      </c>
      <c r="B23" s="40" t="s">
        <v>45</v>
      </c>
      <c r="C23" s="41">
        <v>35404.33</v>
      </c>
      <c r="D23" s="25"/>
      <c r="E23">
        <f t="shared" si="0"/>
        <v>-4449.9747216079668</v>
      </c>
      <c r="F23">
        <f t="shared" si="1"/>
        <v>-4450</v>
      </c>
      <c r="G23">
        <f t="shared" si="2"/>
        <v>5.7500000002619345E-2</v>
      </c>
      <c r="H23">
        <f t="shared" si="3"/>
        <v>5.7500000002619345E-2</v>
      </c>
      <c r="O23">
        <f t="shared" ca="1" si="4"/>
        <v>8.198559990713658E-3</v>
      </c>
      <c r="Q23" s="2">
        <f t="shared" si="5"/>
        <v>20385.830000000002</v>
      </c>
    </row>
    <row r="24" spans="1:30" x14ac:dyDescent="0.2">
      <c r="A24" s="41" t="s">
        <v>70</v>
      </c>
      <c r="B24" s="40" t="s">
        <v>45</v>
      </c>
      <c r="C24" s="41">
        <v>35702.29</v>
      </c>
      <c r="D24" s="25"/>
      <c r="E24">
        <f t="shared" si="0"/>
        <v>-4318.9842922270027</v>
      </c>
      <c r="F24">
        <f t="shared" si="1"/>
        <v>-4319</v>
      </c>
      <c r="G24">
        <f t="shared" si="2"/>
        <v>3.5730000003241003E-2</v>
      </c>
      <c r="H24">
        <f t="shared" si="3"/>
        <v>3.5730000003241003E-2</v>
      </c>
      <c r="O24">
        <f t="shared" ca="1" si="4"/>
        <v>1.0076329031975702E-2</v>
      </c>
      <c r="Q24" s="2">
        <f t="shared" si="5"/>
        <v>20683.79</v>
      </c>
    </row>
    <row r="25" spans="1:30" x14ac:dyDescent="0.2">
      <c r="A25" s="41" t="s">
        <v>70</v>
      </c>
      <c r="B25" s="40" t="s">
        <v>45</v>
      </c>
      <c r="C25" s="41">
        <v>35720.5</v>
      </c>
      <c r="D25" s="25"/>
      <c r="E25">
        <f t="shared" si="0"/>
        <v>-4310.978735376998</v>
      </c>
      <c r="F25">
        <f t="shared" si="1"/>
        <v>-4311</v>
      </c>
      <c r="G25">
        <f t="shared" si="2"/>
        <v>4.837000000406988E-2</v>
      </c>
      <c r="H25">
        <f t="shared" si="3"/>
        <v>4.837000000406988E-2</v>
      </c>
      <c r="O25">
        <f t="shared" ca="1" si="4"/>
        <v>1.0191001950526059E-2</v>
      </c>
      <c r="Q25" s="2">
        <f t="shared" si="5"/>
        <v>20702</v>
      </c>
    </row>
    <row r="26" spans="1:30" x14ac:dyDescent="0.2">
      <c r="A26" s="41" t="s">
        <v>70</v>
      </c>
      <c r="B26" s="40" t="s">
        <v>45</v>
      </c>
      <c r="C26" s="41">
        <v>35727.25</v>
      </c>
      <c r="D26" s="25"/>
      <c r="E26">
        <f t="shared" si="0"/>
        <v>-4308.0112719647232</v>
      </c>
      <c r="F26">
        <f t="shared" si="1"/>
        <v>-4308</v>
      </c>
      <c r="G26">
        <f t="shared" si="2"/>
        <v>-2.5639999992563389E-2</v>
      </c>
      <c r="H26">
        <f t="shared" si="3"/>
        <v>-2.5639999992563389E-2</v>
      </c>
      <c r="O26">
        <f t="shared" ca="1" si="4"/>
        <v>1.0234004294982439E-2</v>
      </c>
      <c r="Q26" s="2">
        <f t="shared" si="5"/>
        <v>20708.75</v>
      </c>
    </row>
    <row r="27" spans="1:30" x14ac:dyDescent="0.2">
      <c r="A27" s="41" t="s">
        <v>88</v>
      </c>
      <c r="B27" s="40" t="s">
        <v>45</v>
      </c>
      <c r="C27" s="41">
        <v>39057.423000000003</v>
      </c>
      <c r="D27" s="25"/>
      <c r="E27">
        <f t="shared" si="0"/>
        <v>-2843.9866002541003</v>
      </c>
      <c r="F27">
        <f t="shared" si="1"/>
        <v>-2844</v>
      </c>
      <c r="G27">
        <f t="shared" si="2"/>
        <v>3.04800000085379E-2</v>
      </c>
      <c r="H27">
        <f t="shared" si="3"/>
        <v>3.04800000085379E-2</v>
      </c>
      <c r="O27">
        <f t="shared" ca="1" si="4"/>
        <v>3.1219148389697228E-2</v>
      </c>
      <c r="Q27" s="2">
        <f t="shared" si="5"/>
        <v>24038.923000000003</v>
      </c>
    </row>
    <row r="28" spans="1:30" x14ac:dyDescent="0.2">
      <c r="A28" s="41" t="s">
        <v>88</v>
      </c>
      <c r="B28" s="40" t="s">
        <v>45</v>
      </c>
      <c r="C28" s="41">
        <v>39389.476999999999</v>
      </c>
      <c r="D28" s="25"/>
      <c r="E28">
        <f t="shared" si="0"/>
        <v>-2698.0076230837867</v>
      </c>
      <c r="F28">
        <f t="shared" si="1"/>
        <v>-2698</v>
      </c>
      <c r="G28">
        <f t="shared" si="2"/>
        <v>-1.7339999998512212E-2</v>
      </c>
      <c r="H28">
        <f t="shared" si="3"/>
        <v>-1.7339999998512212E-2</v>
      </c>
      <c r="O28">
        <f t="shared" ca="1" si="4"/>
        <v>3.3311929153241188E-2</v>
      </c>
      <c r="Q28" s="2">
        <f t="shared" si="5"/>
        <v>24370.976999999999</v>
      </c>
    </row>
    <row r="29" spans="1:30" x14ac:dyDescent="0.2">
      <c r="A29" t="s">
        <v>30</v>
      </c>
      <c r="C29" s="25">
        <v>42303.362000000001</v>
      </c>
      <c r="D29" s="25"/>
      <c r="E29">
        <f t="shared" si="0"/>
        <v>-1416.9932341834181</v>
      </c>
      <c r="F29">
        <f t="shared" si="1"/>
        <v>-1417</v>
      </c>
      <c r="G29">
        <f t="shared" si="2"/>
        <v>1.5390000007755589E-2</v>
      </c>
      <c r="I29">
        <f>+G29</f>
        <v>1.5390000007755589E-2</v>
      </c>
      <c r="O29">
        <f t="shared" ca="1" si="4"/>
        <v>5.1673930236116619E-2</v>
      </c>
      <c r="Q29" s="2">
        <f t="shared" si="5"/>
        <v>27284.862000000001</v>
      </c>
      <c r="AA29">
        <v>8</v>
      </c>
      <c r="AB29" t="s">
        <v>29</v>
      </c>
      <c r="AD29" t="s">
        <v>31</v>
      </c>
    </row>
    <row r="30" spans="1:30" x14ac:dyDescent="0.2">
      <c r="A30" t="s">
        <v>32</v>
      </c>
      <c r="B30" s="5" t="s">
        <v>33</v>
      </c>
      <c r="C30" s="25">
        <v>44541.269</v>
      </c>
      <c r="D30" s="25"/>
      <c r="E30">
        <f t="shared" si="0"/>
        <v>-433.15513898719212</v>
      </c>
      <c r="F30">
        <f t="shared" si="1"/>
        <v>-433</v>
      </c>
      <c r="O30">
        <f t="shared" ca="1" si="4"/>
        <v>6.5778699217810169E-2</v>
      </c>
      <c r="Q30" s="2">
        <f t="shared" si="5"/>
        <v>29522.769</v>
      </c>
      <c r="U30" s="10">
        <v>-0.35288999999465887</v>
      </c>
      <c r="AA30">
        <v>7</v>
      </c>
      <c r="AB30" t="s">
        <v>29</v>
      </c>
      <c r="AD30" t="s">
        <v>31</v>
      </c>
    </row>
    <row r="31" spans="1:30" x14ac:dyDescent="0.2">
      <c r="A31" s="41" t="s">
        <v>105</v>
      </c>
      <c r="B31" s="40" t="s">
        <v>45</v>
      </c>
      <c r="C31" s="41">
        <v>45526.546999999999</v>
      </c>
      <c r="D31" s="25"/>
      <c r="E31">
        <f t="shared" si="0"/>
        <v>-3.0773694636092746E-3</v>
      </c>
      <c r="F31">
        <f t="shared" si="1"/>
        <v>0</v>
      </c>
      <c r="G31">
        <f t="shared" ref="G31:G39" si="6">+C31-(C$7+F31*C$8)</f>
        <v>-6.9999999977881089E-3</v>
      </c>
      <c r="I31">
        <f>+G31</f>
        <v>-6.9999999977881089E-3</v>
      </c>
      <c r="O31">
        <f t="shared" ca="1" si="4"/>
        <v>7.1985370934348078E-2</v>
      </c>
      <c r="Q31" s="2">
        <f t="shared" si="5"/>
        <v>30508.046999999999</v>
      </c>
    </row>
    <row r="32" spans="1:30" x14ac:dyDescent="0.2">
      <c r="A32" t="s">
        <v>13</v>
      </c>
      <c r="C32" s="25">
        <v>45526.553999999996</v>
      </c>
      <c r="D32" s="25" t="s">
        <v>15</v>
      </c>
      <c r="E32">
        <f t="shared" si="0"/>
        <v>0</v>
      </c>
      <c r="F32">
        <f t="shared" si="1"/>
        <v>0</v>
      </c>
      <c r="G32">
        <f t="shared" si="6"/>
        <v>0</v>
      </c>
      <c r="H32">
        <f>+G32</f>
        <v>0</v>
      </c>
      <c r="O32">
        <f t="shared" ca="1" si="4"/>
        <v>7.1985370934348078E-2</v>
      </c>
      <c r="Q32" s="2">
        <f t="shared" si="5"/>
        <v>30508.053999999996</v>
      </c>
    </row>
    <row r="33" spans="1:21" x14ac:dyDescent="0.2">
      <c r="A33" t="s">
        <v>34</v>
      </c>
      <c r="C33" s="25">
        <v>50708.377500000002</v>
      </c>
      <c r="D33" s="25">
        <v>4.1999999999999997E-3</v>
      </c>
      <c r="E33">
        <f t="shared" si="0"/>
        <v>2278.0550585359661</v>
      </c>
      <c r="F33">
        <f t="shared" si="1"/>
        <v>2278</v>
      </c>
      <c r="G33">
        <f t="shared" si="6"/>
        <v>0.12524000000848901</v>
      </c>
      <c r="K33">
        <f>+G33</f>
        <v>0.12524000000848901</v>
      </c>
      <c r="O33">
        <f t="shared" ca="1" si="4"/>
        <v>0.10463848449156138</v>
      </c>
      <c r="Q33" s="2">
        <f t="shared" si="5"/>
        <v>35689.877500000002</v>
      </c>
    </row>
    <row r="34" spans="1:21" x14ac:dyDescent="0.2">
      <c r="A34" s="41" t="s">
        <v>117</v>
      </c>
      <c r="B34" s="40" t="s">
        <v>45</v>
      </c>
      <c r="C34" s="41">
        <v>51040.478499999997</v>
      </c>
      <c r="D34" s="5"/>
      <c r="E34">
        <f t="shared" si="0"/>
        <v>2424.0546980441122</v>
      </c>
      <c r="F34">
        <f t="shared" si="1"/>
        <v>2424</v>
      </c>
      <c r="G34">
        <f t="shared" si="6"/>
        <v>0.12442000000010012</v>
      </c>
      <c r="K34">
        <f>+G34</f>
        <v>0.12442000000010012</v>
      </c>
      <c r="O34">
        <f t="shared" ca="1" si="4"/>
        <v>0.10673126525510535</v>
      </c>
      <c r="Q34" s="2">
        <f t="shared" si="5"/>
        <v>36021.978499999997</v>
      </c>
    </row>
    <row r="35" spans="1:21" x14ac:dyDescent="0.2">
      <c r="A35" s="41" t="s">
        <v>122</v>
      </c>
      <c r="B35" s="40" t="s">
        <v>45</v>
      </c>
      <c r="C35" s="41">
        <v>52141.423999999999</v>
      </c>
      <c r="D35" s="5"/>
      <c r="E35">
        <f t="shared" si="0"/>
        <v>2908.0569928824852</v>
      </c>
      <c r="F35">
        <f t="shared" si="1"/>
        <v>2908</v>
      </c>
      <c r="G35">
        <f t="shared" si="6"/>
        <v>0.12963999999919906</v>
      </c>
      <c r="K35">
        <f>+G35</f>
        <v>0.12963999999919906</v>
      </c>
      <c r="O35">
        <f t="shared" ca="1" si="4"/>
        <v>0.11366897682740176</v>
      </c>
      <c r="Q35" s="2">
        <f t="shared" si="5"/>
        <v>37122.923999999999</v>
      </c>
    </row>
    <row r="36" spans="1:21" x14ac:dyDescent="0.2">
      <c r="A36" s="41" t="s">
        <v>126</v>
      </c>
      <c r="B36" s="40" t="s">
        <v>45</v>
      </c>
      <c r="C36" s="41">
        <v>52150.544000000002</v>
      </c>
      <c r="D36" s="5"/>
      <c r="E36">
        <f t="shared" si="0"/>
        <v>2912.066365670627</v>
      </c>
      <c r="F36">
        <f t="shared" si="1"/>
        <v>2912</v>
      </c>
      <c r="G36">
        <f t="shared" si="6"/>
        <v>0.15096000000630738</v>
      </c>
      <c r="K36">
        <f>+G36</f>
        <v>0.15096000000630738</v>
      </c>
      <c r="O36">
        <f t="shared" ca="1" si="4"/>
        <v>0.11372631328667694</v>
      </c>
      <c r="Q36" s="2">
        <f t="shared" si="5"/>
        <v>37132.044000000002</v>
      </c>
    </row>
    <row r="37" spans="1:21" x14ac:dyDescent="0.2">
      <c r="A37" s="11" t="s">
        <v>37</v>
      </c>
      <c r="B37" s="12"/>
      <c r="C37" s="25">
        <v>53656.349000000002</v>
      </c>
      <c r="D37" s="25">
        <v>2.3E-3</v>
      </c>
      <c r="E37">
        <f t="shared" si="0"/>
        <v>3574.0546980441145</v>
      </c>
      <c r="F37">
        <f t="shared" si="1"/>
        <v>3574</v>
      </c>
      <c r="G37">
        <f t="shared" si="6"/>
        <v>0.12442000000737607</v>
      </c>
      <c r="J37">
        <f>+G37</f>
        <v>0.12442000000737607</v>
      </c>
      <c r="O37">
        <f t="shared" ca="1" si="4"/>
        <v>0.12321549729671874</v>
      </c>
      <c r="Q37" s="2">
        <f t="shared" si="5"/>
        <v>38637.849000000002</v>
      </c>
    </row>
    <row r="38" spans="1:21" x14ac:dyDescent="0.2">
      <c r="A38" s="11" t="s">
        <v>37</v>
      </c>
      <c r="B38" s="12"/>
      <c r="C38" s="25">
        <v>53656.359299999996</v>
      </c>
      <c r="D38" s="25">
        <v>2.0999999999999999E-3</v>
      </c>
      <c r="E38">
        <f t="shared" si="0"/>
        <v>3574.0592261734669</v>
      </c>
      <c r="F38">
        <f t="shared" si="1"/>
        <v>3574</v>
      </c>
      <c r="G38">
        <f t="shared" si="6"/>
        <v>0.13472000000183471</v>
      </c>
      <c r="J38">
        <f>+G38</f>
        <v>0.13472000000183471</v>
      </c>
      <c r="O38">
        <f t="shared" ca="1" si="4"/>
        <v>0.12321549729671874</v>
      </c>
      <c r="Q38" s="2">
        <f t="shared" si="5"/>
        <v>38637.859299999996</v>
      </c>
    </row>
    <row r="39" spans="1:21" x14ac:dyDescent="0.2">
      <c r="A39" s="41" t="s">
        <v>141</v>
      </c>
      <c r="B39" s="40" t="s">
        <v>45</v>
      </c>
      <c r="C39" s="41">
        <v>54422.923499999997</v>
      </c>
      <c r="D39" s="5"/>
      <c r="E39">
        <f t="shared" si="0"/>
        <v>3911.0594064193929</v>
      </c>
      <c r="F39">
        <f t="shared" si="1"/>
        <v>3911</v>
      </c>
      <c r="G39">
        <f t="shared" si="6"/>
        <v>0.13513000000239117</v>
      </c>
      <c r="K39">
        <f>+G39</f>
        <v>0.13513000000239117</v>
      </c>
      <c r="O39">
        <f t="shared" ca="1" si="4"/>
        <v>0.12804609399065239</v>
      </c>
      <c r="Q39" s="2">
        <f t="shared" si="5"/>
        <v>39404.423499999997</v>
      </c>
    </row>
    <row r="40" spans="1:21" x14ac:dyDescent="0.2">
      <c r="A40" s="41" t="s">
        <v>147</v>
      </c>
      <c r="B40" s="40" t="s">
        <v>45</v>
      </c>
      <c r="C40" s="41">
        <v>54682.392099999997</v>
      </c>
      <c r="D40" s="5"/>
      <c r="E40">
        <f t="shared" si="0"/>
        <v>4025.1280845133583</v>
      </c>
      <c r="F40">
        <f t="shared" si="1"/>
        <v>4025</v>
      </c>
      <c r="O40">
        <f t="shared" ca="1" si="4"/>
        <v>0.12968018307999493</v>
      </c>
      <c r="Q40" s="2">
        <f t="shared" si="5"/>
        <v>39663.892099999997</v>
      </c>
      <c r="U40">
        <f>+C40-(C$7+F40*C$8)</f>
        <v>0.29134999999951106</v>
      </c>
    </row>
    <row r="41" spans="1:21" x14ac:dyDescent="0.2">
      <c r="A41" s="41" t="s">
        <v>153</v>
      </c>
      <c r="B41" s="40" t="s">
        <v>45</v>
      </c>
      <c r="C41" s="41">
        <v>55184.946499999998</v>
      </c>
      <c r="D41" s="5"/>
      <c r="E41">
        <f t="shared" si="0"/>
        <v>4246.0631652063821</v>
      </c>
      <c r="F41">
        <f t="shared" si="1"/>
        <v>4246</v>
      </c>
      <c r="G41">
        <f t="shared" ref="G41:G46" si="7">+C41-(C$7+F41*C$8)</f>
        <v>0.14368000000104075</v>
      </c>
      <c r="K41">
        <f t="shared" ref="K41:K46" si="8">+G41</f>
        <v>0.14368000000104075</v>
      </c>
      <c r="O41">
        <f t="shared" ca="1" si="4"/>
        <v>0.13284802245494848</v>
      </c>
      <c r="Q41" s="2">
        <f t="shared" si="5"/>
        <v>40166.446499999998</v>
      </c>
    </row>
    <row r="42" spans="1:21" x14ac:dyDescent="0.2">
      <c r="A42" s="48" t="s">
        <v>44</v>
      </c>
      <c r="B42" s="49" t="s">
        <v>45</v>
      </c>
      <c r="C42" s="50">
        <v>55794.564180000001</v>
      </c>
      <c r="D42" s="50">
        <v>2.0000000000000001E-4</v>
      </c>
      <c r="E42">
        <f t="shared" si="0"/>
        <v>4514.0658557065444</v>
      </c>
      <c r="F42">
        <f t="shared" si="1"/>
        <v>4514</v>
      </c>
      <c r="G42">
        <f t="shared" si="7"/>
        <v>0.14980000000650762</v>
      </c>
      <c r="K42">
        <f t="shared" si="8"/>
        <v>0.14980000000650762</v>
      </c>
      <c r="O42">
        <f t="shared" ca="1" si="4"/>
        <v>0.13668956522638531</v>
      </c>
      <c r="Q42" s="2">
        <f t="shared" si="5"/>
        <v>40776.064180000001</v>
      </c>
    </row>
    <row r="43" spans="1:21" x14ac:dyDescent="0.2">
      <c r="A43" s="41" t="s">
        <v>166</v>
      </c>
      <c r="B43" s="40" t="s">
        <v>45</v>
      </c>
      <c r="C43" s="41">
        <v>55826.402099999999</v>
      </c>
      <c r="D43" s="5"/>
      <c r="E43">
        <f t="shared" si="0"/>
        <v>4528.0625761099427</v>
      </c>
      <c r="F43">
        <f t="shared" si="1"/>
        <v>4528</v>
      </c>
      <c r="G43">
        <f t="shared" si="7"/>
        <v>0.14233999999851221</v>
      </c>
      <c r="K43">
        <f t="shared" si="8"/>
        <v>0.14233999999851221</v>
      </c>
      <c r="O43">
        <f t="shared" ca="1" si="4"/>
        <v>0.13689024283384843</v>
      </c>
      <c r="Q43" s="2">
        <f t="shared" si="5"/>
        <v>40807.902099999999</v>
      </c>
    </row>
    <row r="44" spans="1:21" x14ac:dyDescent="0.2">
      <c r="A44" s="41" t="s">
        <v>166</v>
      </c>
      <c r="B44" s="40" t="s">
        <v>45</v>
      </c>
      <c r="C44" s="41">
        <v>55851.423900000002</v>
      </c>
      <c r="D44" s="5"/>
      <c r="E44">
        <f t="shared" si="0"/>
        <v>4539.0627651483537</v>
      </c>
      <c r="F44">
        <f t="shared" si="1"/>
        <v>4539</v>
      </c>
      <c r="G44">
        <f t="shared" si="7"/>
        <v>0.14277000000583939</v>
      </c>
      <c r="K44">
        <f t="shared" si="8"/>
        <v>0.14277000000583939</v>
      </c>
      <c r="O44">
        <f t="shared" ca="1" si="4"/>
        <v>0.13704791809685518</v>
      </c>
      <c r="Q44" s="2">
        <f t="shared" si="5"/>
        <v>40832.923900000002</v>
      </c>
    </row>
    <row r="45" spans="1:21" x14ac:dyDescent="0.2">
      <c r="A45" s="51" t="s">
        <v>172</v>
      </c>
      <c r="B45" s="52" t="s">
        <v>45</v>
      </c>
      <c r="C45" s="53">
        <v>57689.373420000004</v>
      </c>
      <c r="D45" s="53">
        <v>6.9999999999999999E-4</v>
      </c>
      <c r="E45">
        <f>+(C45-C$7)/C$8</f>
        <v>5347.0698694755756</v>
      </c>
      <c r="F45">
        <f t="shared" si="1"/>
        <v>5347</v>
      </c>
      <c r="G45">
        <f t="shared" si="7"/>
        <v>0.15893000000505708</v>
      </c>
      <c r="K45">
        <f t="shared" si="8"/>
        <v>0.15893000000505708</v>
      </c>
      <c r="O45">
        <f ca="1">+C$11+C$12*$F45</f>
        <v>0.14862988287044093</v>
      </c>
      <c r="Q45" s="2">
        <f>+C45-15018.5</f>
        <v>42670.873420000004</v>
      </c>
    </row>
    <row r="46" spans="1:21" x14ac:dyDescent="0.2">
      <c r="A46" s="43" t="s">
        <v>0</v>
      </c>
      <c r="B46" s="54" t="s">
        <v>45</v>
      </c>
      <c r="C46" s="55">
        <v>57980.516499999998</v>
      </c>
      <c r="D46" s="55">
        <v>1.6999999999999999E-3</v>
      </c>
      <c r="E46">
        <f>+(C46-C$7)/C$8</f>
        <v>5475.0634157921813</v>
      </c>
      <c r="F46">
        <f t="shared" si="1"/>
        <v>5475</v>
      </c>
      <c r="G46">
        <f t="shared" si="7"/>
        <v>0.14424999999755528</v>
      </c>
      <c r="K46">
        <f t="shared" si="8"/>
        <v>0.14424999999755528</v>
      </c>
      <c r="O46">
        <f ca="1">+C$11+C$12*$F46</f>
        <v>0.15046464956724659</v>
      </c>
      <c r="Q46" s="2">
        <f>+C46-15018.5</f>
        <v>42962.016499999998</v>
      </c>
    </row>
    <row r="47" spans="1:21" x14ac:dyDescent="0.2">
      <c r="A47" s="56" t="s">
        <v>174</v>
      </c>
      <c r="B47" s="57" t="s">
        <v>45</v>
      </c>
      <c r="C47" s="58">
        <v>59081.454299999998</v>
      </c>
      <c r="D47" s="56">
        <v>2.2000000000000001E-3</v>
      </c>
      <c r="E47">
        <f>+(C47-C$7)/C$8</f>
        <v>5959.0623255241426</v>
      </c>
      <c r="F47">
        <f t="shared" ref="F47" si="9">ROUND(2*E47,0)/2</f>
        <v>5959</v>
      </c>
      <c r="G47">
        <f t="shared" ref="G47" si="10">+C47-(C$7+F47*C$8)</f>
        <v>0.14177000000199769</v>
      </c>
      <c r="K47">
        <f t="shared" ref="K47" si="11">+G47</f>
        <v>0.14177000000199769</v>
      </c>
      <c r="O47">
        <f ca="1">+C$11+C$12*$F47</f>
        <v>0.15740236113954303</v>
      </c>
      <c r="Q47" s="2">
        <f>+C47-15018.5</f>
        <v>44062.954299999998</v>
      </c>
    </row>
  </sheetData>
  <phoneticPr fontId="7" type="noConversion"/>
  <hyperlinks>
    <hyperlink ref="H63506" r:id="rId1" display="http://vsolj.cetus-net.org/bulletin.html"/>
    <hyperlink ref="H63499" r:id="rId2" display="https://www.aavso.org/ejaavso"/>
    <hyperlink ref="AP357" r:id="rId3" display="http://cdsbib.u-strasbg.fr/cgi-bin/cdsbib?1990RMxAA..21..381G"/>
    <hyperlink ref="AP354" r:id="rId4" display="http://cdsbib.u-strasbg.fr/cgi-bin/cdsbib?1990RMxAA..21..381G"/>
    <hyperlink ref="AP356" r:id="rId5" display="http://cdsbib.u-strasbg.fr/cgi-bin/cdsbib?1990RMxAA..21..381G"/>
    <hyperlink ref="AP332" r:id="rId6" display="http://cdsbib.u-strasbg.fr/cgi-bin/cdsbib?1990RMxAA..21..381G"/>
    <hyperlink ref="I63506" r:id="rId7" display="http://vsolj.cetus-net.org/bulletin.html"/>
    <hyperlink ref="AQ493" r:id="rId8" display="http://cdsbib.u-strasbg.fr/cgi-bin/cdsbib?1990RMxAA..21..381G"/>
    <hyperlink ref="AQ2137" r:id="rId9" display="http://cdsbib.u-strasbg.fr/cgi-bin/cdsbib?1990RMxAA..21..381G"/>
    <hyperlink ref="AQ494" r:id="rId10" display="http://cdsbib.u-strasbg.fr/cgi-bin/cdsbib?1990RMxAA..21..381G"/>
    <hyperlink ref="H63503" r:id="rId11" display="https://www.aavso.org/ejaavso"/>
    <hyperlink ref="H1344" r:id="rId12" display="http://vsolj.cetus-net.org/bulletin.html"/>
    <hyperlink ref="AP4582" r:id="rId13" display="http://cdsbib.u-strasbg.fr/cgi-bin/cdsbib?1990RMxAA..21..381G"/>
    <hyperlink ref="AP4585" r:id="rId14" display="http://cdsbib.u-strasbg.fr/cgi-bin/cdsbib?1990RMxAA..21..381G"/>
    <hyperlink ref="AP4583" r:id="rId15" display="http://cdsbib.u-strasbg.fr/cgi-bin/cdsbib?1990RMxAA..21..381G"/>
    <hyperlink ref="AP4561" r:id="rId16" display="http://cdsbib.u-strasbg.fr/cgi-bin/cdsbib?1990RMxAA..21..381G"/>
    <hyperlink ref="I1344" r:id="rId17" display="http://vsolj.cetus-net.org/bulletin.html"/>
    <hyperlink ref="AQ4695" r:id="rId18" display="http://cdsbib.u-strasbg.fr/cgi-bin/cdsbib?1990RMxAA..21..381G"/>
    <hyperlink ref="AQ64783" r:id="rId19" display="http://cdsbib.u-strasbg.fr/cgi-bin/cdsbib?1990RMxAA..21..381G"/>
    <hyperlink ref="AQ469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9"/>
  <sheetViews>
    <sheetView topLeftCell="A10" workbookViewId="0">
      <selection activeCell="A17" sqref="A17:C33"/>
    </sheetView>
  </sheetViews>
  <sheetFormatPr defaultRowHeight="12.75" x14ac:dyDescent="0.2"/>
  <cols>
    <col min="1" max="1" width="19.7109375" style="27" customWidth="1"/>
    <col min="2" max="2" width="4.42578125" style="11" customWidth="1"/>
    <col min="3" max="3" width="12.7109375" style="2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26" t="s">
        <v>48</v>
      </c>
      <c r="I1" s="28" t="s">
        <v>49</v>
      </c>
      <c r="J1" s="29" t="s">
        <v>50</v>
      </c>
    </row>
    <row r="2" spans="1:16" x14ac:dyDescent="0.2">
      <c r="I2" s="30" t="s">
        <v>51</v>
      </c>
      <c r="J2" s="31" t="s">
        <v>52</v>
      </c>
    </row>
    <row r="3" spans="1:16" x14ac:dyDescent="0.2">
      <c r="A3" s="32" t="s">
        <v>53</v>
      </c>
      <c r="I3" s="30" t="s">
        <v>54</v>
      </c>
      <c r="J3" s="31" t="s">
        <v>55</v>
      </c>
    </row>
    <row r="4" spans="1:16" x14ac:dyDescent="0.2">
      <c r="I4" s="30" t="s">
        <v>56</v>
      </c>
      <c r="J4" s="31" t="s">
        <v>55</v>
      </c>
    </row>
    <row r="5" spans="1:16" ht="13.5" thickBot="1" x14ac:dyDescent="0.25">
      <c r="I5" s="33" t="s">
        <v>57</v>
      </c>
      <c r="J5" s="34" t="s">
        <v>58</v>
      </c>
    </row>
    <row r="10" spans="1:16" ht="13.5" thickBot="1" x14ac:dyDescent="0.25"/>
    <row r="11" spans="1:16" ht="12.75" customHeight="1" thickBot="1" x14ac:dyDescent="0.25">
      <c r="A11" s="27" t="str">
        <f t="shared" ref="A11:A33" si="0">P11</f>
        <v> BBS 17 </v>
      </c>
      <c r="B11" s="5" t="str">
        <f t="shared" ref="B11:B33" si="1">IF(H11=INT(H11),"I","II")</f>
        <v>I</v>
      </c>
      <c r="C11" s="27">
        <f t="shared" ref="C11:C33" si="2">1*G11</f>
        <v>42303.362000000001</v>
      </c>
      <c r="D11" s="11" t="str">
        <f t="shared" ref="D11:D33" si="3">VLOOKUP(F11,I$1:J$5,2,FALSE)</f>
        <v>vis</v>
      </c>
      <c r="E11" s="35">
        <f>VLOOKUP(C11,Active!C$21:E$973,3,FALSE)</f>
        <v>-1416.9932341834181</v>
      </c>
      <c r="F11" s="5" t="s">
        <v>57</v>
      </c>
      <c r="G11" s="11" t="str">
        <f t="shared" ref="G11:G33" si="4">MID(I11,3,LEN(I11)-3)</f>
        <v>42303.362</v>
      </c>
      <c r="H11" s="27">
        <f t="shared" ref="H11:H33" si="5">1*K11</f>
        <v>-1417</v>
      </c>
      <c r="I11" s="36" t="s">
        <v>92</v>
      </c>
      <c r="J11" s="37" t="s">
        <v>93</v>
      </c>
      <c r="K11" s="36">
        <v>-1417</v>
      </c>
      <c r="L11" s="36" t="s">
        <v>94</v>
      </c>
      <c r="M11" s="37" t="s">
        <v>74</v>
      </c>
      <c r="N11" s="37"/>
      <c r="O11" s="38" t="s">
        <v>95</v>
      </c>
      <c r="P11" s="38" t="s">
        <v>96</v>
      </c>
    </row>
    <row r="12" spans="1:16" ht="12.75" customHeight="1" thickBot="1" x14ac:dyDescent="0.25">
      <c r="A12" s="27" t="str">
        <f t="shared" si="0"/>
        <v> BBS 51 </v>
      </c>
      <c r="B12" s="5" t="str">
        <f t="shared" si="1"/>
        <v>I</v>
      </c>
      <c r="C12" s="27">
        <f t="shared" si="2"/>
        <v>44541.269</v>
      </c>
      <c r="D12" s="11" t="str">
        <f t="shared" si="3"/>
        <v>vis</v>
      </c>
      <c r="E12" s="35">
        <f>VLOOKUP(C12,Active!C$21:E$973,3,FALSE)</f>
        <v>-433.15513898719212</v>
      </c>
      <c r="F12" s="5" t="s">
        <v>57</v>
      </c>
      <c r="G12" s="11" t="str">
        <f t="shared" si="4"/>
        <v>44541.269</v>
      </c>
      <c r="H12" s="27">
        <f t="shared" si="5"/>
        <v>-433</v>
      </c>
      <c r="I12" s="36" t="s">
        <v>97</v>
      </c>
      <c r="J12" s="37" t="s">
        <v>98</v>
      </c>
      <c r="K12" s="36">
        <v>-433</v>
      </c>
      <c r="L12" s="36" t="s">
        <v>99</v>
      </c>
      <c r="M12" s="37" t="s">
        <v>74</v>
      </c>
      <c r="N12" s="37"/>
      <c r="O12" s="38" t="s">
        <v>95</v>
      </c>
      <c r="P12" s="38" t="s">
        <v>100</v>
      </c>
    </row>
    <row r="13" spans="1:16" ht="12.75" customHeight="1" thickBot="1" x14ac:dyDescent="0.25">
      <c r="A13" s="27" t="str">
        <f t="shared" si="0"/>
        <v>IBVS 4887 </v>
      </c>
      <c r="B13" s="5" t="str">
        <f t="shared" si="1"/>
        <v>I</v>
      </c>
      <c r="C13" s="27">
        <f t="shared" si="2"/>
        <v>50708.377500000002</v>
      </c>
      <c r="D13" s="11" t="str">
        <f t="shared" si="3"/>
        <v>vis</v>
      </c>
      <c r="E13" s="35">
        <f>VLOOKUP(C13,Active!C$21:E$973,3,FALSE)</f>
        <v>2278.0550585359661</v>
      </c>
      <c r="F13" s="5" t="s">
        <v>57</v>
      </c>
      <c r="G13" s="11" t="str">
        <f t="shared" si="4"/>
        <v>50708.3775</v>
      </c>
      <c r="H13" s="27">
        <f t="shared" si="5"/>
        <v>2278</v>
      </c>
      <c r="I13" s="36" t="s">
        <v>106</v>
      </c>
      <c r="J13" s="37" t="s">
        <v>107</v>
      </c>
      <c r="K13" s="36">
        <v>2278</v>
      </c>
      <c r="L13" s="36" t="s">
        <v>108</v>
      </c>
      <c r="M13" s="37" t="s">
        <v>109</v>
      </c>
      <c r="N13" s="37" t="s">
        <v>110</v>
      </c>
      <c r="O13" s="38" t="s">
        <v>111</v>
      </c>
      <c r="P13" s="39" t="s">
        <v>112</v>
      </c>
    </row>
    <row r="14" spans="1:16" ht="12.75" customHeight="1" thickBot="1" x14ac:dyDescent="0.25">
      <c r="A14" s="27" t="str">
        <f t="shared" si="0"/>
        <v>BAVM 178 </v>
      </c>
      <c r="B14" s="5" t="str">
        <f t="shared" si="1"/>
        <v>I</v>
      </c>
      <c r="C14" s="27">
        <f t="shared" si="2"/>
        <v>53656.349000000002</v>
      </c>
      <c r="D14" s="11" t="str">
        <f t="shared" si="3"/>
        <v>vis</v>
      </c>
      <c r="E14" s="35">
        <f>VLOOKUP(C14,Active!C$21:E$973,3,FALSE)</f>
        <v>3574.0546980441145</v>
      </c>
      <c r="F14" s="5" t="s">
        <v>57</v>
      </c>
      <c r="G14" s="11" t="str">
        <f t="shared" si="4"/>
        <v>53656.3490</v>
      </c>
      <c r="H14" s="27">
        <f t="shared" si="5"/>
        <v>3574</v>
      </c>
      <c r="I14" s="36" t="s">
        <v>127</v>
      </c>
      <c r="J14" s="37" t="s">
        <v>128</v>
      </c>
      <c r="K14" s="36">
        <v>3574</v>
      </c>
      <c r="L14" s="36" t="s">
        <v>115</v>
      </c>
      <c r="M14" s="37" t="s">
        <v>129</v>
      </c>
      <c r="N14" s="37" t="s">
        <v>130</v>
      </c>
      <c r="O14" s="38" t="s">
        <v>131</v>
      </c>
      <c r="P14" s="39" t="s">
        <v>132</v>
      </c>
    </row>
    <row r="15" spans="1:16" ht="12.75" customHeight="1" thickBot="1" x14ac:dyDescent="0.25">
      <c r="A15" s="27" t="str">
        <f t="shared" si="0"/>
        <v>BAVM 178 </v>
      </c>
      <c r="B15" s="5" t="str">
        <f t="shared" si="1"/>
        <v>I</v>
      </c>
      <c r="C15" s="27">
        <f t="shared" si="2"/>
        <v>53656.359299999996</v>
      </c>
      <c r="D15" s="11" t="str">
        <f t="shared" si="3"/>
        <v>vis</v>
      </c>
      <c r="E15" s="35">
        <f>VLOOKUP(C15,Active!C$21:E$973,3,FALSE)</f>
        <v>3574.0592261734669</v>
      </c>
      <c r="F15" s="5" t="s">
        <v>57</v>
      </c>
      <c r="G15" s="11" t="str">
        <f t="shared" si="4"/>
        <v>53656.3593</v>
      </c>
      <c r="H15" s="27">
        <f t="shared" si="5"/>
        <v>3574</v>
      </c>
      <c r="I15" s="36" t="s">
        <v>133</v>
      </c>
      <c r="J15" s="37" t="s">
        <v>134</v>
      </c>
      <c r="K15" s="36">
        <v>3574</v>
      </c>
      <c r="L15" s="36" t="s">
        <v>135</v>
      </c>
      <c r="M15" s="37" t="s">
        <v>129</v>
      </c>
      <c r="N15" s="37" t="s">
        <v>57</v>
      </c>
      <c r="O15" s="38" t="s">
        <v>121</v>
      </c>
      <c r="P15" s="39" t="s">
        <v>132</v>
      </c>
    </row>
    <row r="16" spans="1:16" ht="12.75" customHeight="1" thickBot="1" x14ac:dyDescent="0.25">
      <c r="A16" s="27" t="str">
        <f t="shared" si="0"/>
        <v>OEJV 0160 </v>
      </c>
      <c r="B16" s="5" t="str">
        <f t="shared" si="1"/>
        <v>I</v>
      </c>
      <c r="C16" s="27">
        <f t="shared" si="2"/>
        <v>55794.564180000001</v>
      </c>
      <c r="D16" s="11" t="str">
        <f t="shared" si="3"/>
        <v>vis</v>
      </c>
      <c r="E16" s="35">
        <f>VLOOKUP(C16,Active!C$21:E$973,3,FALSE)</f>
        <v>4514.0658557065444</v>
      </c>
      <c r="F16" s="5" t="s">
        <v>57</v>
      </c>
      <c r="G16" s="11" t="str">
        <f t="shared" si="4"/>
        <v>55794.56418</v>
      </c>
      <c r="H16" s="27">
        <f t="shared" si="5"/>
        <v>4514</v>
      </c>
      <c r="I16" s="36" t="s">
        <v>154</v>
      </c>
      <c r="J16" s="37" t="s">
        <v>155</v>
      </c>
      <c r="K16" s="36" t="s">
        <v>156</v>
      </c>
      <c r="L16" s="36" t="s">
        <v>157</v>
      </c>
      <c r="M16" s="37" t="s">
        <v>129</v>
      </c>
      <c r="N16" s="37" t="s">
        <v>158</v>
      </c>
      <c r="O16" s="38" t="s">
        <v>159</v>
      </c>
      <c r="P16" s="39" t="s">
        <v>160</v>
      </c>
    </row>
    <row r="17" spans="1:16" ht="12.75" customHeight="1" thickBot="1" x14ac:dyDescent="0.25">
      <c r="A17" s="27" t="str">
        <f t="shared" si="0"/>
        <v> AN 282.77 </v>
      </c>
      <c r="B17" s="5" t="str">
        <f t="shared" si="1"/>
        <v>I</v>
      </c>
      <c r="C17" s="27">
        <f t="shared" si="2"/>
        <v>26619.486000000001</v>
      </c>
      <c r="D17" s="11" t="str">
        <f t="shared" si="3"/>
        <v>vis</v>
      </c>
      <c r="E17" s="35">
        <f>VLOOKUP(C17,Active!C$21:E$973,3,FALSE)</f>
        <v>-8312.0048182813316</v>
      </c>
      <c r="F17" s="5" t="s">
        <v>57</v>
      </c>
      <c r="G17" s="11" t="str">
        <f t="shared" si="4"/>
        <v>26619.486</v>
      </c>
      <c r="H17" s="27">
        <f t="shared" si="5"/>
        <v>-8312</v>
      </c>
      <c r="I17" s="36" t="s">
        <v>60</v>
      </c>
      <c r="J17" s="37" t="s">
        <v>61</v>
      </c>
      <c r="K17" s="36">
        <v>-8312</v>
      </c>
      <c r="L17" s="36" t="s">
        <v>62</v>
      </c>
      <c r="M17" s="37" t="s">
        <v>59</v>
      </c>
      <c r="N17" s="37"/>
      <c r="O17" s="38" t="s">
        <v>63</v>
      </c>
      <c r="P17" s="38" t="s">
        <v>64</v>
      </c>
    </row>
    <row r="18" spans="1:16" ht="12.75" customHeight="1" thickBot="1" x14ac:dyDescent="0.25">
      <c r="A18" s="27" t="str">
        <f t="shared" si="0"/>
        <v> AC 173.15 </v>
      </c>
      <c r="B18" s="5" t="str">
        <f t="shared" si="1"/>
        <v>I</v>
      </c>
      <c r="C18" s="27">
        <f t="shared" si="2"/>
        <v>33898.43</v>
      </c>
      <c r="D18" s="11" t="str">
        <f t="shared" si="3"/>
        <v>vis</v>
      </c>
      <c r="E18" s="35">
        <f>VLOOKUP(C18,Active!C$21:E$973,3,FALSE)</f>
        <v>-5112.0048182813316</v>
      </c>
      <c r="F18" s="5" t="s">
        <v>57</v>
      </c>
      <c r="G18" s="11" t="str">
        <f t="shared" si="4"/>
        <v>33898.43</v>
      </c>
      <c r="H18" s="27">
        <f t="shared" si="5"/>
        <v>-5112</v>
      </c>
      <c r="I18" s="36" t="s">
        <v>65</v>
      </c>
      <c r="J18" s="37" t="s">
        <v>66</v>
      </c>
      <c r="K18" s="36">
        <v>-5112</v>
      </c>
      <c r="L18" s="36" t="s">
        <v>67</v>
      </c>
      <c r="M18" s="37" t="s">
        <v>68</v>
      </c>
      <c r="N18" s="37"/>
      <c r="O18" s="38" t="s">
        <v>69</v>
      </c>
      <c r="P18" s="38" t="s">
        <v>70</v>
      </c>
    </row>
    <row r="19" spans="1:16" ht="12.75" customHeight="1" thickBot="1" x14ac:dyDescent="0.25">
      <c r="A19" s="27" t="str">
        <f t="shared" si="0"/>
        <v> AC 173.15 </v>
      </c>
      <c r="B19" s="5" t="str">
        <f t="shared" si="1"/>
        <v>I</v>
      </c>
      <c r="C19" s="27">
        <f t="shared" si="2"/>
        <v>35404.33</v>
      </c>
      <c r="D19" s="11" t="str">
        <f t="shared" si="3"/>
        <v>vis</v>
      </c>
      <c r="E19" s="35">
        <f>VLOOKUP(C19,Active!C$21:E$973,3,FALSE)</f>
        <v>-4449.9747216079668</v>
      </c>
      <c r="F19" s="5" t="s">
        <v>57</v>
      </c>
      <c r="G19" s="11" t="str">
        <f t="shared" si="4"/>
        <v>35404.33</v>
      </c>
      <c r="H19" s="27">
        <f t="shared" si="5"/>
        <v>-4450</v>
      </c>
      <c r="I19" s="36" t="s">
        <v>71</v>
      </c>
      <c r="J19" s="37" t="s">
        <v>72</v>
      </c>
      <c r="K19" s="36">
        <v>-4450</v>
      </c>
      <c r="L19" s="36" t="s">
        <v>73</v>
      </c>
      <c r="M19" s="37" t="s">
        <v>74</v>
      </c>
      <c r="N19" s="37"/>
      <c r="O19" s="38" t="s">
        <v>69</v>
      </c>
      <c r="P19" s="38" t="s">
        <v>70</v>
      </c>
    </row>
    <row r="20" spans="1:16" ht="12.75" customHeight="1" thickBot="1" x14ac:dyDescent="0.25">
      <c r="A20" s="27" t="str">
        <f t="shared" si="0"/>
        <v> AC 173.15 </v>
      </c>
      <c r="B20" s="5" t="str">
        <f t="shared" si="1"/>
        <v>I</v>
      </c>
      <c r="C20" s="27">
        <f t="shared" si="2"/>
        <v>35702.29</v>
      </c>
      <c r="D20" s="11" t="str">
        <f t="shared" si="3"/>
        <v>vis</v>
      </c>
      <c r="E20" s="35">
        <f>VLOOKUP(C20,Active!C$21:E$973,3,FALSE)</f>
        <v>-4318.9842922270027</v>
      </c>
      <c r="F20" s="5" t="s">
        <v>57</v>
      </c>
      <c r="G20" s="11" t="str">
        <f t="shared" si="4"/>
        <v>35702.29</v>
      </c>
      <c r="H20" s="27">
        <f t="shared" si="5"/>
        <v>-4319</v>
      </c>
      <c r="I20" s="36" t="s">
        <v>75</v>
      </c>
      <c r="J20" s="37" t="s">
        <v>76</v>
      </c>
      <c r="K20" s="36">
        <v>-4319</v>
      </c>
      <c r="L20" s="36" t="s">
        <v>77</v>
      </c>
      <c r="M20" s="37" t="s">
        <v>74</v>
      </c>
      <c r="N20" s="37"/>
      <c r="O20" s="38" t="s">
        <v>69</v>
      </c>
      <c r="P20" s="38" t="s">
        <v>70</v>
      </c>
    </row>
    <row r="21" spans="1:16" ht="12.75" customHeight="1" thickBot="1" x14ac:dyDescent="0.25">
      <c r="A21" s="27" t="str">
        <f t="shared" si="0"/>
        <v> AC 173.15 </v>
      </c>
      <c r="B21" s="5" t="str">
        <f t="shared" si="1"/>
        <v>I</v>
      </c>
      <c r="C21" s="27">
        <f t="shared" si="2"/>
        <v>35720.5</v>
      </c>
      <c r="D21" s="11" t="str">
        <f t="shared" si="3"/>
        <v>vis</v>
      </c>
      <c r="E21" s="35">
        <f>VLOOKUP(C21,Active!C$21:E$973,3,FALSE)</f>
        <v>-4310.978735376998</v>
      </c>
      <c r="F21" s="5" t="s">
        <v>57</v>
      </c>
      <c r="G21" s="11" t="str">
        <f t="shared" si="4"/>
        <v>35720.50</v>
      </c>
      <c r="H21" s="27">
        <f t="shared" si="5"/>
        <v>-4311</v>
      </c>
      <c r="I21" s="36" t="s">
        <v>78</v>
      </c>
      <c r="J21" s="37" t="s">
        <v>79</v>
      </c>
      <c r="K21" s="36">
        <v>-4311</v>
      </c>
      <c r="L21" s="36" t="s">
        <v>80</v>
      </c>
      <c r="M21" s="37" t="s">
        <v>74</v>
      </c>
      <c r="N21" s="37"/>
      <c r="O21" s="38" t="s">
        <v>69</v>
      </c>
      <c r="P21" s="38" t="s">
        <v>70</v>
      </c>
    </row>
    <row r="22" spans="1:16" ht="12.75" customHeight="1" thickBot="1" x14ac:dyDescent="0.25">
      <c r="A22" s="27" t="str">
        <f t="shared" si="0"/>
        <v> AC 173.15 </v>
      </c>
      <c r="B22" s="5" t="str">
        <f t="shared" si="1"/>
        <v>I</v>
      </c>
      <c r="C22" s="27">
        <f t="shared" si="2"/>
        <v>35727.25</v>
      </c>
      <c r="D22" s="11" t="str">
        <f t="shared" si="3"/>
        <v>vis</v>
      </c>
      <c r="E22" s="35">
        <f>VLOOKUP(C22,Active!C$21:E$973,3,FALSE)</f>
        <v>-4308.0112719647232</v>
      </c>
      <c r="F22" s="5" t="s">
        <v>57</v>
      </c>
      <c r="G22" s="11" t="str">
        <f t="shared" si="4"/>
        <v>35727.25</v>
      </c>
      <c r="H22" s="27">
        <f t="shared" si="5"/>
        <v>-4308</v>
      </c>
      <c r="I22" s="36" t="s">
        <v>81</v>
      </c>
      <c r="J22" s="37" t="s">
        <v>82</v>
      </c>
      <c r="K22" s="36">
        <v>-4308</v>
      </c>
      <c r="L22" s="36" t="s">
        <v>83</v>
      </c>
      <c r="M22" s="37" t="s">
        <v>74</v>
      </c>
      <c r="N22" s="37"/>
      <c r="O22" s="38" t="s">
        <v>69</v>
      </c>
      <c r="P22" s="38" t="s">
        <v>70</v>
      </c>
    </row>
    <row r="23" spans="1:16" ht="12.75" customHeight="1" thickBot="1" x14ac:dyDescent="0.25">
      <c r="A23" s="27" t="str">
        <f t="shared" si="0"/>
        <v> HABZ 82 </v>
      </c>
      <c r="B23" s="5" t="str">
        <f t="shared" si="1"/>
        <v>I</v>
      </c>
      <c r="C23" s="27">
        <f t="shared" si="2"/>
        <v>39057.423000000003</v>
      </c>
      <c r="D23" s="11" t="str">
        <f t="shared" si="3"/>
        <v>vis</v>
      </c>
      <c r="E23" s="35">
        <f>VLOOKUP(C23,Active!C$21:E$973,3,FALSE)</f>
        <v>-2843.9866002541003</v>
      </c>
      <c r="F23" s="5" t="s">
        <v>57</v>
      </c>
      <c r="G23" s="11" t="str">
        <f t="shared" si="4"/>
        <v>39057.423</v>
      </c>
      <c r="H23" s="27">
        <f t="shared" si="5"/>
        <v>-2844</v>
      </c>
      <c r="I23" s="36" t="s">
        <v>84</v>
      </c>
      <c r="J23" s="37" t="s">
        <v>85</v>
      </c>
      <c r="K23" s="36">
        <v>-2844</v>
      </c>
      <c r="L23" s="36" t="s">
        <v>86</v>
      </c>
      <c r="M23" s="37" t="s">
        <v>68</v>
      </c>
      <c r="N23" s="37"/>
      <c r="O23" s="38" t="s">
        <v>87</v>
      </c>
      <c r="P23" s="38" t="s">
        <v>88</v>
      </c>
    </row>
    <row r="24" spans="1:16" ht="12.75" customHeight="1" thickBot="1" x14ac:dyDescent="0.25">
      <c r="A24" s="27" t="str">
        <f t="shared" si="0"/>
        <v> HABZ 82 </v>
      </c>
      <c r="B24" s="5" t="str">
        <f t="shared" si="1"/>
        <v>I</v>
      </c>
      <c r="C24" s="27">
        <f t="shared" si="2"/>
        <v>39389.476999999999</v>
      </c>
      <c r="D24" s="11" t="str">
        <f t="shared" si="3"/>
        <v>vis</v>
      </c>
      <c r="E24" s="35">
        <f>VLOOKUP(C24,Active!C$21:E$973,3,FALSE)</f>
        <v>-2698.0076230837867</v>
      </c>
      <c r="F24" s="5" t="s">
        <v>57</v>
      </c>
      <c r="G24" s="11" t="str">
        <f t="shared" si="4"/>
        <v>39389.477</v>
      </c>
      <c r="H24" s="27">
        <f t="shared" si="5"/>
        <v>-2698</v>
      </c>
      <c r="I24" s="36" t="s">
        <v>89</v>
      </c>
      <c r="J24" s="37" t="s">
        <v>90</v>
      </c>
      <c r="K24" s="36">
        <v>-2698</v>
      </c>
      <c r="L24" s="36" t="s">
        <v>91</v>
      </c>
      <c r="M24" s="37" t="s">
        <v>68</v>
      </c>
      <c r="N24" s="37"/>
      <c r="O24" s="38" t="s">
        <v>87</v>
      </c>
      <c r="P24" s="38" t="s">
        <v>88</v>
      </c>
    </row>
    <row r="25" spans="1:16" ht="12.75" customHeight="1" thickBot="1" x14ac:dyDescent="0.25">
      <c r="A25" s="27" t="str">
        <f t="shared" si="0"/>
        <v> BBS 67 </v>
      </c>
      <c r="B25" s="5" t="str">
        <f t="shared" si="1"/>
        <v>I</v>
      </c>
      <c r="C25" s="27">
        <f t="shared" si="2"/>
        <v>45526.546999999999</v>
      </c>
      <c r="D25" s="11" t="str">
        <f t="shared" si="3"/>
        <v>vis</v>
      </c>
      <c r="E25" s="35">
        <f>VLOOKUP(C25,Active!C$21:E$973,3,FALSE)</f>
        <v>-3.0773694636092746E-3</v>
      </c>
      <c r="F25" s="5" t="s">
        <v>57</v>
      </c>
      <c r="G25" s="11" t="str">
        <f t="shared" si="4"/>
        <v>45526.547</v>
      </c>
      <c r="H25" s="27">
        <f t="shared" si="5"/>
        <v>0</v>
      </c>
      <c r="I25" s="36" t="s">
        <v>101</v>
      </c>
      <c r="J25" s="37" t="s">
        <v>102</v>
      </c>
      <c r="K25" s="36">
        <v>0</v>
      </c>
      <c r="L25" s="36" t="s">
        <v>103</v>
      </c>
      <c r="M25" s="37" t="s">
        <v>74</v>
      </c>
      <c r="N25" s="37"/>
      <c r="O25" s="38" t="s">
        <v>104</v>
      </c>
      <c r="P25" s="38" t="s">
        <v>105</v>
      </c>
    </row>
    <row r="26" spans="1:16" ht="12.75" customHeight="1" thickBot="1" x14ac:dyDescent="0.25">
      <c r="A26" s="27" t="str">
        <f t="shared" si="0"/>
        <v> BRNO 32 </v>
      </c>
      <c r="B26" s="5" t="str">
        <f t="shared" si="1"/>
        <v>I</v>
      </c>
      <c r="C26" s="27">
        <f t="shared" si="2"/>
        <v>51040.478499999997</v>
      </c>
      <c r="D26" s="11" t="str">
        <f t="shared" si="3"/>
        <v>vis</v>
      </c>
      <c r="E26" s="35">
        <f>VLOOKUP(C26,Active!C$21:E$973,3,FALSE)</f>
        <v>2424.0546980441122</v>
      </c>
      <c r="F26" s="5" t="s">
        <v>57</v>
      </c>
      <c r="G26" s="11" t="str">
        <f t="shared" si="4"/>
        <v>51040.4785</v>
      </c>
      <c r="H26" s="27">
        <f t="shared" si="5"/>
        <v>2424</v>
      </c>
      <c r="I26" s="36" t="s">
        <v>113</v>
      </c>
      <c r="J26" s="37" t="s">
        <v>114</v>
      </c>
      <c r="K26" s="36">
        <v>2424</v>
      </c>
      <c r="L26" s="36" t="s">
        <v>115</v>
      </c>
      <c r="M26" s="37" t="s">
        <v>109</v>
      </c>
      <c r="N26" s="37" t="s">
        <v>110</v>
      </c>
      <c r="O26" s="38" t="s">
        <v>116</v>
      </c>
      <c r="P26" s="38" t="s">
        <v>117</v>
      </c>
    </row>
    <row r="27" spans="1:16" ht="12.75" customHeight="1" thickBot="1" x14ac:dyDescent="0.25">
      <c r="A27" s="27" t="str">
        <f t="shared" si="0"/>
        <v>BAVM 152 </v>
      </c>
      <c r="B27" s="5" t="str">
        <f t="shared" si="1"/>
        <v>I</v>
      </c>
      <c r="C27" s="27">
        <f t="shared" si="2"/>
        <v>52141.423999999999</v>
      </c>
      <c r="D27" s="11" t="str">
        <f t="shared" si="3"/>
        <v>vis</v>
      </c>
      <c r="E27" s="35">
        <f>VLOOKUP(C27,Active!C$21:E$973,3,FALSE)</f>
        <v>2908.0569928824852</v>
      </c>
      <c r="F27" s="5" t="s">
        <v>57</v>
      </c>
      <c r="G27" s="11" t="str">
        <f t="shared" si="4"/>
        <v>52141.424</v>
      </c>
      <c r="H27" s="27">
        <f t="shared" si="5"/>
        <v>2908</v>
      </c>
      <c r="I27" s="36" t="s">
        <v>118</v>
      </c>
      <c r="J27" s="37" t="s">
        <v>119</v>
      </c>
      <c r="K27" s="36">
        <v>2908</v>
      </c>
      <c r="L27" s="36" t="s">
        <v>120</v>
      </c>
      <c r="M27" s="37" t="s">
        <v>109</v>
      </c>
      <c r="N27" s="37" t="s">
        <v>57</v>
      </c>
      <c r="O27" s="38" t="s">
        <v>121</v>
      </c>
      <c r="P27" s="39" t="s">
        <v>122</v>
      </c>
    </row>
    <row r="28" spans="1:16" ht="12.75" customHeight="1" thickBot="1" x14ac:dyDescent="0.25">
      <c r="A28" s="27" t="str">
        <f t="shared" si="0"/>
        <v> BBS 126 </v>
      </c>
      <c r="B28" s="5" t="str">
        <f t="shared" si="1"/>
        <v>I</v>
      </c>
      <c r="C28" s="27">
        <f t="shared" si="2"/>
        <v>52150.544000000002</v>
      </c>
      <c r="D28" s="11" t="str">
        <f t="shared" si="3"/>
        <v>vis</v>
      </c>
      <c r="E28" s="35">
        <f>VLOOKUP(C28,Active!C$21:E$973,3,FALSE)</f>
        <v>2912.066365670627</v>
      </c>
      <c r="F28" s="5" t="s">
        <v>57</v>
      </c>
      <c r="G28" s="11" t="str">
        <f t="shared" si="4"/>
        <v>52150.544</v>
      </c>
      <c r="H28" s="27">
        <f t="shared" si="5"/>
        <v>2912</v>
      </c>
      <c r="I28" s="36" t="s">
        <v>123</v>
      </c>
      <c r="J28" s="37" t="s">
        <v>124</v>
      </c>
      <c r="K28" s="36">
        <v>2912</v>
      </c>
      <c r="L28" s="36" t="s">
        <v>125</v>
      </c>
      <c r="M28" s="37" t="s">
        <v>109</v>
      </c>
      <c r="N28" s="37" t="s">
        <v>110</v>
      </c>
      <c r="O28" s="38" t="s">
        <v>95</v>
      </c>
      <c r="P28" s="38" t="s">
        <v>126</v>
      </c>
    </row>
    <row r="29" spans="1:16" ht="12.75" customHeight="1" thickBot="1" x14ac:dyDescent="0.25">
      <c r="A29" s="27" t="str">
        <f t="shared" si="0"/>
        <v>VSB 46 </v>
      </c>
      <c r="B29" s="5" t="str">
        <f t="shared" si="1"/>
        <v>I</v>
      </c>
      <c r="C29" s="27">
        <f t="shared" si="2"/>
        <v>54422.923499999997</v>
      </c>
      <c r="D29" s="11" t="str">
        <f t="shared" si="3"/>
        <v>vis</v>
      </c>
      <c r="E29" s="35">
        <f>VLOOKUP(C29,Active!C$21:E$973,3,FALSE)</f>
        <v>3911.0594064193929</v>
      </c>
      <c r="F29" s="5" t="s">
        <v>57</v>
      </c>
      <c r="G29" s="11" t="str">
        <f t="shared" si="4"/>
        <v>54422.9235</v>
      </c>
      <c r="H29" s="27">
        <f t="shared" si="5"/>
        <v>3911</v>
      </c>
      <c r="I29" s="36" t="s">
        <v>136</v>
      </c>
      <c r="J29" s="37" t="s">
        <v>137</v>
      </c>
      <c r="K29" s="36">
        <v>3911</v>
      </c>
      <c r="L29" s="36" t="s">
        <v>138</v>
      </c>
      <c r="M29" s="37" t="s">
        <v>129</v>
      </c>
      <c r="N29" s="37" t="s">
        <v>139</v>
      </c>
      <c r="O29" s="38" t="s">
        <v>140</v>
      </c>
      <c r="P29" s="39" t="s">
        <v>141</v>
      </c>
    </row>
    <row r="30" spans="1:16" ht="12.75" customHeight="1" thickBot="1" x14ac:dyDescent="0.25">
      <c r="A30" s="27" t="str">
        <f t="shared" si="0"/>
        <v>BAVM 203 </v>
      </c>
      <c r="B30" s="5" t="str">
        <f t="shared" si="1"/>
        <v>I</v>
      </c>
      <c r="C30" s="27">
        <f t="shared" si="2"/>
        <v>54682.392099999997</v>
      </c>
      <c r="D30" s="11" t="str">
        <f t="shared" si="3"/>
        <v>vis</v>
      </c>
      <c r="E30" s="35">
        <f>VLOOKUP(C30,Active!C$21:E$973,3,FALSE)</f>
        <v>4025.1280845133583</v>
      </c>
      <c r="F30" s="5" t="s">
        <v>57</v>
      </c>
      <c r="G30" s="11" t="str">
        <f t="shared" si="4"/>
        <v>54682.3921</v>
      </c>
      <c r="H30" s="27">
        <f t="shared" si="5"/>
        <v>4025</v>
      </c>
      <c r="I30" s="36" t="s">
        <v>142</v>
      </c>
      <c r="J30" s="37" t="s">
        <v>143</v>
      </c>
      <c r="K30" s="36">
        <v>4025</v>
      </c>
      <c r="L30" s="36" t="s">
        <v>144</v>
      </c>
      <c r="M30" s="37" t="s">
        <v>129</v>
      </c>
      <c r="N30" s="37" t="s">
        <v>145</v>
      </c>
      <c r="O30" s="38" t="s">
        <v>146</v>
      </c>
      <c r="P30" s="39" t="s">
        <v>147</v>
      </c>
    </row>
    <row r="31" spans="1:16" ht="12.75" customHeight="1" thickBot="1" x14ac:dyDescent="0.25">
      <c r="A31" s="27" t="str">
        <f t="shared" si="0"/>
        <v>VSB 50 </v>
      </c>
      <c r="B31" s="5" t="str">
        <f t="shared" si="1"/>
        <v>I</v>
      </c>
      <c r="C31" s="27">
        <f t="shared" si="2"/>
        <v>55184.946499999998</v>
      </c>
      <c r="D31" s="11" t="str">
        <f t="shared" si="3"/>
        <v>vis</v>
      </c>
      <c r="E31" s="35">
        <f>VLOOKUP(C31,Active!C$21:E$973,3,FALSE)</f>
        <v>4246.0631652063821</v>
      </c>
      <c r="F31" s="5" t="s">
        <v>57</v>
      </c>
      <c r="G31" s="11" t="str">
        <f t="shared" si="4"/>
        <v>55184.9465</v>
      </c>
      <c r="H31" s="27">
        <f t="shared" si="5"/>
        <v>4246</v>
      </c>
      <c r="I31" s="36" t="s">
        <v>148</v>
      </c>
      <c r="J31" s="37" t="s">
        <v>149</v>
      </c>
      <c r="K31" s="36" t="s">
        <v>150</v>
      </c>
      <c r="L31" s="36" t="s">
        <v>151</v>
      </c>
      <c r="M31" s="37" t="s">
        <v>129</v>
      </c>
      <c r="N31" s="37" t="s">
        <v>57</v>
      </c>
      <c r="O31" s="38" t="s">
        <v>152</v>
      </c>
      <c r="P31" s="39" t="s">
        <v>153</v>
      </c>
    </row>
    <row r="32" spans="1:16" ht="12.75" customHeight="1" thickBot="1" x14ac:dyDescent="0.25">
      <c r="A32" s="27" t="str">
        <f t="shared" si="0"/>
        <v>BAVM 225 </v>
      </c>
      <c r="B32" s="5" t="str">
        <f t="shared" si="1"/>
        <v>I</v>
      </c>
      <c r="C32" s="27">
        <f t="shared" si="2"/>
        <v>55826.402099999999</v>
      </c>
      <c r="D32" s="11" t="str">
        <f t="shared" si="3"/>
        <v>vis</v>
      </c>
      <c r="E32" s="35">
        <f>VLOOKUP(C32,Active!C$21:E$973,3,FALSE)</f>
        <v>4528.0625761099427</v>
      </c>
      <c r="F32" s="5" t="s">
        <v>57</v>
      </c>
      <c r="G32" s="11" t="str">
        <f t="shared" si="4"/>
        <v>55826.4021</v>
      </c>
      <c r="H32" s="27">
        <f t="shared" si="5"/>
        <v>4528</v>
      </c>
      <c r="I32" s="36" t="s">
        <v>161</v>
      </c>
      <c r="J32" s="37" t="s">
        <v>162</v>
      </c>
      <c r="K32" s="36" t="s">
        <v>163</v>
      </c>
      <c r="L32" s="36" t="s">
        <v>164</v>
      </c>
      <c r="M32" s="37" t="s">
        <v>129</v>
      </c>
      <c r="N32" s="37" t="s">
        <v>145</v>
      </c>
      <c r="O32" s="38" t="s">
        <v>165</v>
      </c>
      <c r="P32" s="39" t="s">
        <v>166</v>
      </c>
    </row>
    <row r="33" spans="1:16" ht="12.75" customHeight="1" thickBot="1" x14ac:dyDescent="0.25">
      <c r="A33" s="27" t="str">
        <f t="shared" si="0"/>
        <v>BAVM 225 </v>
      </c>
      <c r="B33" s="5" t="str">
        <f t="shared" si="1"/>
        <v>I</v>
      </c>
      <c r="C33" s="27">
        <f t="shared" si="2"/>
        <v>55851.423900000002</v>
      </c>
      <c r="D33" s="11" t="str">
        <f t="shared" si="3"/>
        <v>vis</v>
      </c>
      <c r="E33" s="35">
        <f>VLOOKUP(C33,Active!C$21:E$973,3,FALSE)</f>
        <v>4539.0627651483537</v>
      </c>
      <c r="F33" s="5" t="s">
        <v>57</v>
      </c>
      <c r="G33" s="11" t="str">
        <f t="shared" si="4"/>
        <v>55851.4239</v>
      </c>
      <c r="H33" s="27">
        <f t="shared" si="5"/>
        <v>4539</v>
      </c>
      <c r="I33" s="36" t="s">
        <v>167</v>
      </c>
      <c r="J33" s="37" t="s">
        <v>168</v>
      </c>
      <c r="K33" s="36" t="s">
        <v>169</v>
      </c>
      <c r="L33" s="36" t="s">
        <v>170</v>
      </c>
      <c r="M33" s="37" t="s">
        <v>129</v>
      </c>
      <c r="N33" s="37" t="s">
        <v>57</v>
      </c>
      <c r="O33" s="38" t="s">
        <v>121</v>
      </c>
      <c r="P33" s="39" t="s">
        <v>166</v>
      </c>
    </row>
    <row r="34" spans="1:16" x14ac:dyDescent="0.2">
      <c r="B34" s="5"/>
      <c r="F34" s="5"/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</sheetData>
  <phoneticPr fontId="7" type="noConversion"/>
  <hyperlinks>
    <hyperlink ref="P13" r:id="rId1" display="http://www.konkoly.hu/cgi-bin/IBVS?4887"/>
    <hyperlink ref="P27" r:id="rId2" display="http://www.bav-astro.de/sfs/BAVM_link.php?BAVMnr=152"/>
    <hyperlink ref="P14" r:id="rId3" display="http://www.bav-astro.de/sfs/BAVM_link.php?BAVMnr=178"/>
    <hyperlink ref="P15" r:id="rId4" display="http://www.bav-astro.de/sfs/BAVM_link.php?BAVMnr=178"/>
    <hyperlink ref="P29" r:id="rId5" display="http://vsolj.cetus-net.org/no46.pdf"/>
    <hyperlink ref="P30" r:id="rId6" display="http://www.bav-astro.de/sfs/BAVM_link.php?BAVMnr=203"/>
    <hyperlink ref="P31" r:id="rId7" display="http://vsolj.cetus-net.org/vsoljno50.pdf"/>
    <hyperlink ref="P16" r:id="rId8" display="http://var.astro.cz/oejv/issues/oejv0160.pdf"/>
    <hyperlink ref="P32" r:id="rId9" display="http://www.bav-astro.de/sfs/BAVM_link.php?BAVMnr=225"/>
    <hyperlink ref="P33" r:id="rId10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2023-01-21T05:08:27Z</dcterms:modified>
</cp:coreProperties>
</file>