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5474BE22-7E92-4505-9E04-48A4EC0605A2}" xr6:coauthVersionLast="47" xr6:coauthVersionMax="47" xr10:uidLastSave="{00000000-0000-0000-0000-000000000000}"/>
  <bookViews>
    <workbookView xWindow="14430" yWindow="570" windowWidth="12735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6" i="1" l="1"/>
  <c r="Q52" i="1"/>
  <c r="Q53" i="1"/>
  <c r="Q54" i="1"/>
  <c r="Q55" i="1"/>
  <c r="C7" i="1"/>
  <c r="E52" i="1" s="1"/>
  <c r="F52" i="1" s="1"/>
  <c r="G52" i="1" s="1"/>
  <c r="K52" i="1" s="1"/>
  <c r="C8" i="1"/>
  <c r="E56" i="1" s="1"/>
  <c r="F56" i="1" s="1"/>
  <c r="G56" i="1" s="1"/>
  <c r="K56" i="1" s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E43" i="1"/>
  <c r="F43" i="1" s="1"/>
  <c r="G43" i="1" s="1"/>
  <c r="K43" i="1" s="1"/>
  <c r="Q43" i="1"/>
  <c r="Q44" i="1"/>
  <c r="Q45" i="1"/>
  <c r="Q46" i="1"/>
  <c r="Q47" i="1"/>
  <c r="E48" i="1"/>
  <c r="F48" i="1" s="1"/>
  <c r="G48" i="1" s="1"/>
  <c r="K48" i="1" s="1"/>
  <c r="Q48" i="1"/>
  <c r="Q49" i="1"/>
  <c r="Q50" i="1"/>
  <c r="Q51" i="1"/>
  <c r="A11" i="2"/>
  <c r="D11" i="2"/>
  <c r="G11" i="2"/>
  <c r="C11" i="2"/>
  <c r="H11" i="2"/>
  <c r="B11" i="2"/>
  <c r="A12" i="2"/>
  <c r="B12" i="2"/>
  <c r="D12" i="2"/>
  <c r="G12" i="2"/>
  <c r="C12" i="2"/>
  <c r="H12" i="2"/>
  <c r="A13" i="2"/>
  <c r="B13" i="2"/>
  <c r="C13" i="2"/>
  <c r="D13" i="2"/>
  <c r="G13" i="2"/>
  <c r="H13" i="2"/>
  <c r="A14" i="2"/>
  <c r="B14" i="2"/>
  <c r="C14" i="2"/>
  <c r="D14" i="2"/>
  <c r="G14" i="2"/>
  <c r="H14" i="2"/>
  <c r="A15" i="2"/>
  <c r="C15" i="2"/>
  <c r="D15" i="2"/>
  <c r="G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H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C23" i="2"/>
  <c r="D23" i="2"/>
  <c r="G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C31" i="2"/>
  <c r="D31" i="2"/>
  <c r="G31" i="2"/>
  <c r="H31" i="2"/>
  <c r="B31" i="2"/>
  <c r="A32" i="2"/>
  <c r="D32" i="2"/>
  <c r="G32" i="2"/>
  <c r="C32" i="2"/>
  <c r="H32" i="2"/>
  <c r="B32" i="2"/>
  <c r="A33" i="2"/>
  <c r="D33" i="2"/>
  <c r="G33" i="2"/>
  <c r="C33" i="2"/>
  <c r="H33" i="2"/>
  <c r="B33" i="2"/>
  <c r="A34" i="2"/>
  <c r="D34" i="2"/>
  <c r="G34" i="2"/>
  <c r="C34" i="2"/>
  <c r="H34" i="2"/>
  <c r="B34" i="2"/>
  <c r="A35" i="2"/>
  <c r="C35" i="2"/>
  <c r="D35" i="2"/>
  <c r="G35" i="2"/>
  <c r="H35" i="2"/>
  <c r="B35" i="2"/>
  <c r="E51" i="1" l="1"/>
  <c r="F51" i="1" s="1"/>
  <c r="G51" i="1" s="1"/>
  <c r="K51" i="1" s="1"/>
  <c r="E39" i="1"/>
  <c r="F39" i="1" s="1"/>
  <c r="G39" i="1" s="1"/>
  <c r="K39" i="1" s="1"/>
  <c r="E37" i="1"/>
  <c r="E26" i="1"/>
  <c r="E22" i="1"/>
  <c r="F22" i="1" s="1"/>
  <c r="E53" i="1"/>
  <c r="F53" i="1" s="1"/>
  <c r="G53" i="1" s="1"/>
  <c r="K53" i="1" s="1"/>
  <c r="E47" i="1"/>
  <c r="F47" i="1" s="1"/>
  <c r="G47" i="1" s="1"/>
  <c r="K47" i="1" s="1"/>
  <c r="E45" i="1"/>
  <c r="E34" i="1"/>
  <c r="E35" i="2"/>
  <c r="E42" i="1"/>
  <c r="E28" i="1"/>
  <c r="E25" i="1"/>
  <c r="E21" i="1"/>
  <c r="F21" i="1" s="1"/>
  <c r="G21" i="1" s="1"/>
  <c r="H21" i="1" s="1"/>
  <c r="E55" i="1"/>
  <c r="F55" i="1" s="1"/>
  <c r="G55" i="1" s="1"/>
  <c r="K55" i="1" s="1"/>
  <c r="E29" i="1"/>
  <c r="E50" i="1"/>
  <c r="F50" i="1" s="1"/>
  <c r="G50" i="1" s="1"/>
  <c r="K50" i="1" s="1"/>
  <c r="E36" i="1"/>
  <c r="E33" i="1"/>
  <c r="E30" i="1"/>
  <c r="E31" i="1"/>
  <c r="F31" i="1" s="1"/>
  <c r="G31" i="1" s="1"/>
  <c r="I31" i="1" s="1"/>
  <c r="E44" i="1"/>
  <c r="E41" i="1"/>
  <c r="E38" i="1"/>
  <c r="E24" i="1"/>
  <c r="F24" i="1" s="1"/>
  <c r="G24" i="1" s="1"/>
  <c r="H24" i="1" s="1"/>
  <c r="F17" i="1"/>
  <c r="E54" i="1"/>
  <c r="F54" i="1" s="1"/>
  <c r="G54" i="1" s="1"/>
  <c r="K54" i="1" s="1"/>
  <c r="E49" i="1"/>
  <c r="F49" i="1" s="1"/>
  <c r="G49" i="1" s="1"/>
  <c r="K49" i="1" s="1"/>
  <c r="E46" i="1"/>
  <c r="E32" i="1"/>
  <c r="F32" i="1" s="1"/>
  <c r="G32" i="1" s="1"/>
  <c r="I32" i="1" s="1"/>
  <c r="E27" i="1"/>
  <c r="E40" i="1"/>
  <c r="E14" i="2" s="1"/>
  <c r="E35" i="1"/>
  <c r="E23" i="1"/>
  <c r="F23" i="1" s="1"/>
  <c r="G23" i="1" s="1"/>
  <c r="H23" i="1" s="1"/>
  <c r="E23" i="2"/>
  <c r="E21" i="2"/>
  <c r="E20" i="2"/>
  <c r="E30" i="2"/>
  <c r="E13" i="2" l="1"/>
  <c r="F38" i="1"/>
  <c r="G38" i="1" s="1"/>
  <c r="K38" i="1" s="1"/>
  <c r="F29" i="1"/>
  <c r="G29" i="1" s="1"/>
  <c r="I29" i="1" s="1"/>
  <c r="E28" i="2"/>
  <c r="E18" i="2"/>
  <c r="F45" i="1"/>
  <c r="G45" i="1" s="1"/>
  <c r="K45" i="1" s="1"/>
  <c r="F41" i="1"/>
  <c r="G41" i="1" s="1"/>
  <c r="K41" i="1" s="1"/>
  <c r="E15" i="2"/>
  <c r="F44" i="1"/>
  <c r="G44" i="1" s="1"/>
  <c r="K44" i="1" s="1"/>
  <c r="E17" i="2"/>
  <c r="F40" i="1"/>
  <c r="G40" i="1" s="1"/>
  <c r="F46" i="1"/>
  <c r="G46" i="1" s="1"/>
  <c r="K46" i="1" s="1"/>
  <c r="E19" i="2"/>
  <c r="F25" i="1"/>
  <c r="G25" i="1" s="1"/>
  <c r="H25" i="1" s="1"/>
  <c r="E24" i="2"/>
  <c r="F30" i="1"/>
  <c r="G30" i="1" s="1"/>
  <c r="I30" i="1" s="1"/>
  <c r="E29" i="2"/>
  <c r="F28" i="1"/>
  <c r="G28" i="1" s="1"/>
  <c r="E27" i="2"/>
  <c r="E25" i="2"/>
  <c r="F26" i="1"/>
  <c r="G26" i="1" s="1"/>
  <c r="H26" i="1" s="1"/>
  <c r="E31" i="2"/>
  <c r="F33" i="1"/>
  <c r="G33" i="1" s="1"/>
  <c r="J33" i="1" s="1"/>
  <c r="E32" i="2"/>
  <c r="E16" i="2"/>
  <c r="F42" i="1"/>
  <c r="G42" i="1" s="1"/>
  <c r="K42" i="1" s="1"/>
  <c r="F37" i="1"/>
  <c r="G37" i="1" s="1"/>
  <c r="K37" i="1" s="1"/>
  <c r="E12" i="2"/>
  <c r="E26" i="2"/>
  <c r="F27" i="1"/>
  <c r="G27" i="1" s="1"/>
  <c r="I27" i="1" s="1"/>
  <c r="F36" i="1"/>
  <c r="G36" i="1" s="1"/>
  <c r="K36" i="1" s="1"/>
  <c r="E34" i="2"/>
  <c r="E22" i="2"/>
  <c r="F35" i="1"/>
  <c r="G35" i="1" s="1"/>
  <c r="J35" i="1" s="1"/>
  <c r="E11" i="2"/>
  <c r="E33" i="2"/>
  <c r="F34" i="1"/>
  <c r="G34" i="1" s="1"/>
  <c r="J34" i="1" s="1"/>
  <c r="K40" i="1"/>
  <c r="C11" i="1"/>
  <c r="C12" i="1"/>
  <c r="C16" i="1" l="1"/>
  <c r="D18" i="1" s="1"/>
  <c r="O33" i="1"/>
  <c r="O25" i="1"/>
  <c r="O21" i="1"/>
  <c r="O35" i="1"/>
  <c r="O31" i="1"/>
  <c r="O24" i="1"/>
  <c r="O51" i="1"/>
  <c r="O22" i="1"/>
  <c r="O42" i="1"/>
  <c r="O38" i="1"/>
  <c r="O52" i="1"/>
  <c r="O32" i="1"/>
  <c r="O46" i="1"/>
  <c r="O36" i="1"/>
  <c r="O56" i="1"/>
  <c r="O55" i="1"/>
  <c r="O48" i="1"/>
  <c r="O30" i="1"/>
  <c r="O27" i="1"/>
  <c r="O53" i="1"/>
  <c r="O23" i="1"/>
  <c r="O47" i="1"/>
  <c r="O45" i="1"/>
  <c r="C15" i="1"/>
  <c r="C18" i="1" s="1"/>
  <c r="O26" i="1"/>
  <c r="O44" i="1"/>
  <c r="O41" i="1"/>
  <c r="O54" i="1"/>
  <c r="O28" i="1"/>
  <c r="O29" i="1"/>
  <c r="O34" i="1"/>
  <c r="O39" i="1"/>
  <c r="O40" i="1"/>
  <c r="O50" i="1"/>
  <c r="O43" i="1"/>
  <c r="O49" i="1"/>
  <c r="O37" i="1"/>
  <c r="I28" i="1"/>
  <c r="F18" i="1" l="1"/>
  <c r="F19" i="1" s="1"/>
</calcChain>
</file>

<file path=xl/sharedStrings.xml><?xml version="1.0" encoding="utf-8"?>
<sst xmlns="http://schemas.openxmlformats.org/spreadsheetml/2006/main" count="310" uniqueCount="174">
  <si>
    <t>EU Peg / gsc 2243-0738</t>
  </si>
  <si>
    <t>System Type:</t>
  </si>
  <si>
    <t>EA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</si>
  <si>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</si>
  <si>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</si>
  <si>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</si>
  <si>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</si>
  <si>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</si>
  <si>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</si>
  <si>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</si>
  <si>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</si>
  <si>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</si>
  <si>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</si>
  <si>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</si>
  <si>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</si>
  <si>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</si>
  <si>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</si>
  <si>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</si>
  <si>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</si>
  <si>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</si>
  <si>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</si>
  <si>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</si>
  <si>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</si>
  <si>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</si>
  <si>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</si>
  <si>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</si>
  <si>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</si>
  <si>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</si>
  <si>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</si>
  <si>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</si>
  <si>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</si>
  <si>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</si>
  <si>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</si>
  <si>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</si>
  <si>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</si>
  <si>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</si>
  <si>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</si>
  <si>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</si>
  <si>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</si>
  <si>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</si>
  <si>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</si>
  <si>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</si>
  <si>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 BTOK 87.896 </t>
  </si>
  <si>
    <t>I</t>
  </si>
  <si>
    <t>GCVS 4</t>
  </si>
  <si>
    <t>BAVM 79 </t>
  </si>
  <si>
    <t>BAVM 60 </t>
  </si>
  <si>
    <t>BAVM 93 </t>
  </si>
  <si>
    <t>BAVM 62 </t>
  </si>
  <si>
    <t>BAVM 68 </t>
  </si>
  <si>
    <t>IBVS 4712</t>
  </si>
  <si>
    <t> BBS 123 </t>
  </si>
  <si>
    <t>IBVS 5583</t>
  </si>
  <si>
    <t>IBVS 5484</t>
  </si>
  <si>
    <t>IBVS 5438</t>
  </si>
  <si>
    <t>IBVS 5378</t>
  </si>
  <si>
    <t>IBVS 5643</t>
  </si>
  <si>
    <t>VSB 46 </t>
  </si>
  <si>
    <t>IBVS 5960</t>
  </si>
  <si>
    <t>IBVS 6011</t>
  </si>
  <si>
    <t>IBVS 6118</t>
  </si>
  <si>
    <t>IBVS 6042</t>
  </si>
  <si>
    <t>OEJV 0179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</si>
  <si>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</si>
  <si>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</si>
  <si>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</si>
  <si>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</si>
  <si>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</si>
  <si>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</si>
  <si>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</si>
  <si>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</si>
  <si>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2450671.4216 </t>
  </si>
  <si>
    <t> 10.08.1997 22:07 </t>
  </si>
  <si>
    <t> 0.0342 </t>
  </si>
  <si>
    <t>E </t>
  </si>
  <si>
    <t>o</t>
  </si>
  <si>
    <t> W.Moschner </t>
  </si>
  <si>
    <t>BAVM 118 </t>
  </si>
  <si>
    <t>2452147.5456 </t>
  </si>
  <si>
    <t> 26.08.2001 01:05 </t>
  </si>
  <si>
    <t> 0.0378 </t>
  </si>
  <si>
    <t>R</t>
  </si>
  <si>
    <t> M.Zejda </t>
  </si>
  <si>
    <t>IBVS 5583 </t>
  </si>
  <si>
    <t>2452150.4268 </t>
  </si>
  <si>
    <t> 28.08.2001 22:14 </t>
  </si>
  <si>
    <t> 0.0346 </t>
  </si>
  <si>
    <t> Moschner&amp;Frank </t>
  </si>
  <si>
    <t>BAVM 158 </t>
  </si>
  <si>
    <t>2452535.502 </t>
  </si>
  <si>
    <t> 18.09.2002 00:02 </t>
  </si>
  <si>
    <t> 0.035 </t>
  </si>
  <si>
    <t>?</t>
  </si>
  <si>
    <t> R.Diethelm </t>
  </si>
  <si>
    <t> BBS 129 </t>
  </si>
  <si>
    <t>2452581.6528 </t>
  </si>
  <si>
    <t> 03.11.2002 03:40 </t>
  </si>
  <si>
    <t> 0.0344 </t>
  </si>
  <si>
    <t> S.Dvorak </t>
  </si>
  <si>
    <t>IBVS 5378 </t>
  </si>
  <si>
    <t>2452913.3646 </t>
  </si>
  <si>
    <t> 30.09.2003 20:45 </t>
  </si>
  <si>
    <t> 0.0338 </t>
  </si>
  <si>
    <t>BAVM 172 </t>
  </si>
  <si>
    <t>2455500.7279 </t>
  </si>
  <si>
    <t> 31.10.2010 05:28 </t>
  </si>
  <si>
    <t> 0.0400 </t>
  </si>
  <si>
    <t>C </t>
  </si>
  <si>
    <t>IBVS 5960 </t>
  </si>
  <si>
    <t>2455875.7051 </t>
  </si>
  <si>
    <t> 10.11.2011 04:55 </t>
  </si>
  <si>
    <t> 0.0379 </t>
  </si>
  <si>
    <t>IBVS 6011 </t>
  </si>
  <si>
    <t>2456132.4214 </t>
  </si>
  <si>
    <t> 23.07.2012 22:06 </t>
  </si>
  <si>
    <t> 0.0377 </t>
  </si>
  <si>
    <t> W.Moschner &amp; P.Frank </t>
  </si>
  <si>
    <t>BAVM 234 </t>
  </si>
  <si>
    <t>2456232.6571 </t>
  </si>
  <si>
    <t> 01.11.2012 03:46 </t>
  </si>
  <si>
    <t> 0.0385 </t>
  </si>
  <si>
    <t>IBVS 6042 </t>
  </si>
  <si>
    <t>2433981.919 </t>
  </si>
  <si>
    <t> 01.12.1951 10:03 </t>
  </si>
  <si>
    <t> -0.006 </t>
  </si>
  <si>
    <t>F </t>
  </si>
  <si>
    <t> S.Kaho </t>
  </si>
  <si>
    <t>2434302.106 </t>
  </si>
  <si>
    <t> 16.10.1952 14:32 </t>
  </si>
  <si>
    <t> 0.006 </t>
  </si>
  <si>
    <t>2434628.044 </t>
  </si>
  <si>
    <t> 07.09.1953 13:03 </t>
  </si>
  <si>
    <t> 0.001 </t>
  </si>
  <si>
    <t>2435044.125 </t>
  </si>
  <si>
    <t> 28.10.1954 15:00 </t>
  </si>
  <si>
    <t> -0.001 </t>
  </si>
  <si>
    <t>2435401.078 </t>
  </si>
  <si>
    <t> 20.10.1955 13:52 </t>
  </si>
  <si>
    <t>2448465.538 </t>
  </si>
  <si>
    <t> 28.07.1991 00:54 </t>
  </si>
  <si>
    <t> 0.038 </t>
  </si>
  <si>
    <t> Moschner&amp;Kleikamp </t>
  </si>
  <si>
    <t>2448499.421 </t>
  </si>
  <si>
    <t> 30.08.1991 22:06 </t>
  </si>
  <si>
    <t> 0.029 </t>
  </si>
  <si>
    <t>2448501.588 </t>
  </si>
  <si>
    <t> 02.09.1991 02:06 </t>
  </si>
  <si>
    <t> 0.033 </t>
  </si>
  <si>
    <t>2448514.566 </t>
  </si>
  <si>
    <t> 15.09.1991 01:35 </t>
  </si>
  <si>
    <t> 0.031 </t>
  </si>
  <si>
    <t>2448840.509 </t>
  </si>
  <si>
    <t> 06.08.1992 00:12 </t>
  </si>
  <si>
    <t> 0.030 </t>
  </si>
  <si>
    <t> Moschner &amp; Lau </t>
  </si>
  <si>
    <t>2448988.344 </t>
  </si>
  <si>
    <t> 31.12.1992 20:15 </t>
  </si>
  <si>
    <t> 0.037 </t>
  </si>
  <si>
    <t>2449202.5194 </t>
  </si>
  <si>
    <t> 03.08.1993 00:27 </t>
  </si>
  <si>
    <t> 0.0412 </t>
  </si>
  <si>
    <t>2449249.3863 </t>
  </si>
  <si>
    <t> 18.09.1993 21:16 </t>
  </si>
  <si>
    <t> 0.0357 </t>
  </si>
  <si>
    <t>2451796.3545 </t>
  </si>
  <si>
    <t> 08.09.2000 20:30 </t>
  </si>
  <si>
    <t> 0.0292 </t>
  </si>
  <si>
    <t>2454421.9390 </t>
  </si>
  <si>
    <t> 17.11.2007 10:32 </t>
  </si>
  <si>
    <t>Ic</t>
  </si>
  <si>
    <t> K.Nakajima </t>
  </si>
  <si>
    <t>JAVSO 49, 108</t>
  </si>
  <si>
    <t>II</t>
  </si>
  <si>
    <t>JAVSO, 50, 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</si>
</sst>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d/mm/yyyy"/>
    <numFmt numFmtId="169" formatCode="0.00000"/>
  </numFmts>
  <fonts count="15" x14ac:knownFonts="1">
    <font>
      <sz val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ill="0" applyBorder="0" applyProtection="0">
      <alignment vertical="top"/>
    </xf>
    <xf numFmtId="164" fontId="13" fillId="0" borderId="0" applyFill="0" applyBorder="0" applyProtection="0">
      <alignment vertical="top"/>
    </xf>
    <xf numFmtId="0" fontId="13" fillId="0" borderId="0" applyFill="0" applyBorder="0" applyProtection="0">
      <alignment vertical="top"/>
    </xf>
    <xf numFmtId="2" fontId="13" fillId="0" borderId="0" applyFill="0" applyBorder="0" applyProtection="0">
      <alignment vertical="top"/>
    </xf>
    <xf numFmtId="0" fontId="12" fillId="0" borderId="0" applyNumberFormat="0" applyFill="0" applyBorder="0" applyProtection="0">
      <alignment vertical="top"/>
    </xf>
    <xf numFmtId="0" fontId="13" fillId="0" borderId="0"/>
    <xf numFmtId="0" fontId="13" fillId="0" borderId="0"/>
  </cellStyleXfs>
  <cellXfs count="71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2" fillId="0" borderId="0" xfId="0" applyFont="1">
      <alignment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2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2" fillId="2" borderId="11" xfId="0" applyFont="1" applyFill="1" applyBorder="1" applyAlignment="1">
      <alignment horizontal="left" vertical="top" wrapText="1" indent="1"/>
    </xf>
    <xf numFmtId="0" fontId="2" fillId="2" borderId="1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right" vertical="top" wrapText="1"/>
    </xf>
    <xf numFmtId="0" fontId="12" fillId="2" borderId="11" xfId="5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0" fillId="0" borderId="0" xfId="0" applyNumberFormat="1" applyAlignme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9" fontId="14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left"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EU Peg - O-C Diagr.</a:t>
            </a:r>
          </a:p>
        </c:rich>
      </c:tx>
      <c:layout>
        <c:manualLayout>
          <c:xMode val="edge"/>
          <c:yMode val="edge"/>
          <c:x val="0.32851283052428359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62001188421267"/>
          <c:y val="0.23584978088695488"/>
          <c:w val="0.75826522778242411"/>
          <c:h val="0.53773750042225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Active!$H$21:$H$51</c:f>
              <c:numCache>
                <c:formatCode>General</c:formatCode>
                <c:ptCount val="31"/>
                <c:pt idx="0">
                  <c:v>-6.0000000012223609E-3</c:v>
                </c:pt>
                <c:pt idx="1">
                  <c:v>0</c:v>
                </c:pt>
                <c:pt idx="2">
                  <c:v>6.3840000002528541E-3</c:v>
                </c:pt>
                <c:pt idx="3">
                  <c:v>8.5599999874830246E-4</c:v>
                </c:pt>
                <c:pt idx="4">
                  <c:v>-9.2200000653974712E-4</c:v>
                </c:pt>
                <c:pt idx="5">
                  <c:v>6.4800000109244138E-4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5E-4DD1-80ED-259312F609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Active!$I$21:$I$51</c:f>
              <c:numCache>
                <c:formatCode>General</c:formatCode>
                <c:ptCount val="31"/>
                <c:pt idx="6">
                  <c:v>3.8309999996272381E-2</c:v>
                </c:pt>
                <c:pt idx="7">
                  <c:v>2.8952000000572298E-2</c:v>
                </c:pt>
                <c:pt idx="8">
                  <c:v>3.2610000002023298E-2</c:v>
                </c:pt>
                <c:pt idx="9">
                  <c:v>3.0557999991287943E-2</c:v>
                </c:pt>
                <c:pt idx="10">
                  <c:v>3.0029999994440004E-2</c:v>
                </c:pt>
                <c:pt idx="11">
                  <c:v>3.665999999793712E-2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5E-4DD1-80ED-259312F609B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Active!$J$21:$J$51</c:f>
              <c:numCache>
                <c:formatCode>General</c:formatCode>
                <c:ptCount val="31"/>
                <c:pt idx="12">
                  <c:v>4.1201999993063509E-2</c:v>
                </c:pt>
                <c:pt idx="13">
                  <c:v>3.5691999990376644E-2</c:v>
                </c:pt>
                <c:pt idx="14">
                  <c:v>3.4183999996457715E-2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5E-4DD1-80ED-259312F609B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Active!$K$21:$K$51</c:f>
              <c:numCache>
                <c:formatCode>General</c:formatCode>
                <c:ptCount val="31"/>
                <c:pt idx="15">
                  <c:v>2.9243999997561332E-2</c:v>
                </c:pt>
                <c:pt idx="16">
                  <c:v>3.7825999992492143E-2</c:v>
                </c:pt>
                <c:pt idx="17">
                  <c:v>3.4569999996165279E-2</c:v>
                </c:pt>
                <c:pt idx="18">
                  <c:v>3.4569999996165279E-2</c:v>
                </c:pt>
                <c:pt idx="19">
                  <c:v>3.48939999967115E-2</c:v>
                </c:pt>
                <c:pt idx="20">
                  <c:v>3.439799999614479E-2</c:v>
                </c:pt>
                <c:pt idx="21">
                  <c:v>3.3757999997760635E-2</c:v>
                </c:pt>
                <c:pt idx="22">
                  <c:v>3.7669999990612268E-2</c:v>
                </c:pt>
                <c:pt idx="23">
                  <c:v>4.0025999995123129E-2</c:v>
                </c:pt>
                <c:pt idx="24">
                  <c:v>3.7945999996736646E-2</c:v>
                </c:pt>
                <c:pt idx="25">
                  <c:v>3.766199999517994E-2</c:v>
                </c:pt>
                <c:pt idx="26">
                  <c:v>3.8515999993251171E-2</c:v>
                </c:pt>
                <c:pt idx="27">
                  <c:v>4.0035999998508487E-2</c:v>
                </c:pt>
                <c:pt idx="28">
                  <c:v>3.9779999991878867E-2</c:v>
                </c:pt>
                <c:pt idx="29">
                  <c:v>4.7421999777725432E-2</c:v>
                </c:pt>
                <c:pt idx="30">
                  <c:v>4.6842000083415769E-2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5E-4DD1-80ED-259312F609B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Active!$L$21:$L$51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5E-4DD1-80ED-259312F609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Active!$M$21:$M$51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5E-4DD1-80ED-259312F609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Active!$N$21:$N$51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5E-4DD1-80ED-259312F609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Active!$O$21:$O$51</c:f>
              <c:numCache>
                <c:formatCode>General</c:formatCode>
                <c:ptCount val="31"/>
                <c:pt idx="0">
                  <c:v>9.2866818311015988E-3</c:v>
                </c:pt>
                <c:pt idx="1">
                  <c:v>9.2866818311015988E-3</c:v>
                </c:pt>
                <c:pt idx="2">
                  <c:v>9.7612830857708756E-3</c:v>
                </c:pt>
                <c:pt idx="3">
                  <c:v>1.0244435714398158E-2</c:v>
                </c:pt>
                <c:pt idx="4">
                  <c:v>1.0861203561119267E-2</c:v>
                </c:pt>
                <c:pt idx="5">
                  <c:v>1.1390319824770827E-2</c:v>
                </c:pt>
                <c:pt idx="6">
                  <c:v>3.0755975074417883E-2</c:v>
                </c:pt>
                <c:pt idx="7">
                  <c:v>3.0806214396421162E-2</c:v>
                </c:pt>
                <c:pt idx="8">
                  <c:v>3.0809421161655415E-2</c:v>
                </c:pt>
                <c:pt idx="9">
                  <c:v>3.0828661753060923E-2</c:v>
                </c:pt>
                <c:pt idx="10">
                  <c:v>3.1311814381688202E-2</c:v>
                </c:pt>
                <c:pt idx="11">
                  <c:v>3.1530943339362086E-2</c:v>
                </c:pt>
                <c:pt idx="12">
                  <c:v>3.184841309755302E-2</c:v>
                </c:pt>
                <c:pt idx="13">
                  <c:v>3.1917893010961811E-2</c:v>
                </c:pt>
                <c:pt idx="14">
                  <c:v>3.4025806691610039E-2</c:v>
                </c:pt>
                <c:pt idx="15">
                  <c:v>3.5693324613421014E-2</c:v>
                </c:pt>
                <c:pt idx="16">
                  <c:v>3.621388950311457E-2</c:v>
                </c:pt>
                <c:pt idx="17">
                  <c:v>3.6218165190093569E-2</c:v>
                </c:pt>
                <c:pt idx="18">
                  <c:v>3.6218165190093569E-2</c:v>
                </c:pt>
                <c:pt idx="19">
                  <c:v>3.6788969401790404E-2</c:v>
                </c:pt>
                <c:pt idx="20">
                  <c:v>3.6857380393454445E-2</c:v>
                </c:pt>
                <c:pt idx="21">
                  <c:v>3.7349084396039733E-2</c:v>
                </c:pt>
                <c:pt idx="22">
                  <c:v>3.9585268686058037E-2</c:v>
                </c:pt>
                <c:pt idx="23">
                  <c:v>4.1184375616204971E-2</c:v>
                </c:pt>
                <c:pt idx="24">
                  <c:v>4.1740214923475294E-2</c:v>
                </c:pt>
                <c:pt idx="25">
                  <c:v>4.2120751064606513E-2</c:v>
                </c:pt>
                <c:pt idx="26">
                  <c:v>4.2269331187126849E-2</c:v>
                </c:pt>
                <c:pt idx="27">
                  <c:v>4.3803233890843993E-2</c:v>
                </c:pt>
                <c:pt idx="28">
                  <c:v>4.3887678708679295E-2</c:v>
                </c:pt>
                <c:pt idx="29">
                  <c:v>4.4467034294334143E-2</c:v>
                </c:pt>
                <c:pt idx="30">
                  <c:v>4.4926670644576908E-2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5E-4DD1-80ED-259312F60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28776"/>
        <c:axId val="1"/>
      </c:scatterChart>
      <c:valAx>
        <c:axId val="748328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52935944990341"/>
              <c:y val="0.858493207217022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917355371900828E-2"/>
              <c:y val="0.40880635203618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328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7107438016528921E-2"/>
          <c:y val="0.91195232671387771"/>
          <c:w val="0.86570334699898044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EU Peg - O-C Diagr.</a:t>
            </a:r>
          </a:p>
        </c:rich>
      </c:tx>
      <c:layout>
        <c:manualLayout>
          <c:xMode val="edge"/>
          <c:yMode val="edge"/>
          <c:x val="0.32989690721649484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38144329896907"/>
          <c:y val="0.23511007774245343"/>
          <c:w val="0.75670103092783503"/>
          <c:h val="0.53918577828935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Active!$H$21:$H$51</c:f>
              <c:numCache>
                <c:formatCode>General</c:formatCode>
                <c:ptCount val="31"/>
                <c:pt idx="0">
                  <c:v>-6.0000000012223609E-3</c:v>
                </c:pt>
                <c:pt idx="1">
                  <c:v>0</c:v>
                </c:pt>
                <c:pt idx="2">
                  <c:v>6.3840000002528541E-3</c:v>
                </c:pt>
                <c:pt idx="3">
                  <c:v>8.5599999874830246E-4</c:v>
                </c:pt>
                <c:pt idx="4">
                  <c:v>-9.2200000653974712E-4</c:v>
                </c:pt>
                <c:pt idx="5">
                  <c:v>6.4800000109244138E-4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5A-4865-8388-4EC3BDE9885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Active!$I$21:$I$51</c:f>
              <c:numCache>
                <c:formatCode>General</c:formatCode>
                <c:ptCount val="31"/>
                <c:pt idx="6">
                  <c:v>3.8309999996272381E-2</c:v>
                </c:pt>
                <c:pt idx="7">
                  <c:v>2.8952000000572298E-2</c:v>
                </c:pt>
                <c:pt idx="8">
                  <c:v>3.2610000002023298E-2</c:v>
                </c:pt>
                <c:pt idx="9">
                  <c:v>3.0557999991287943E-2</c:v>
                </c:pt>
                <c:pt idx="10">
                  <c:v>3.0029999994440004E-2</c:v>
                </c:pt>
                <c:pt idx="11">
                  <c:v>3.665999999793712E-2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5A-4865-8388-4EC3BDE9885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Active!$J$21:$J$51</c:f>
              <c:numCache>
                <c:formatCode>General</c:formatCode>
                <c:ptCount val="31"/>
                <c:pt idx="12">
                  <c:v>4.1201999993063509E-2</c:v>
                </c:pt>
                <c:pt idx="13">
                  <c:v>3.5691999990376644E-2</c:v>
                </c:pt>
                <c:pt idx="14">
                  <c:v>3.4183999996457715E-2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5A-4865-8388-4EC3BDE9885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Active!$K$21:$K$51</c:f>
              <c:numCache>
                <c:formatCode>General</c:formatCode>
                <c:ptCount val="31"/>
                <c:pt idx="15">
                  <c:v>2.9243999997561332E-2</c:v>
                </c:pt>
                <c:pt idx="16">
                  <c:v>3.7825999992492143E-2</c:v>
                </c:pt>
                <c:pt idx="17">
                  <c:v>3.4569999996165279E-2</c:v>
                </c:pt>
                <c:pt idx="18">
                  <c:v>3.4569999996165279E-2</c:v>
                </c:pt>
                <c:pt idx="19">
                  <c:v>3.48939999967115E-2</c:v>
                </c:pt>
                <c:pt idx="20">
                  <c:v>3.439799999614479E-2</c:v>
                </c:pt>
                <c:pt idx="21">
                  <c:v>3.3757999997760635E-2</c:v>
                </c:pt>
                <c:pt idx="22">
                  <c:v>3.7669999990612268E-2</c:v>
                </c:pt>
                <c:pt idx="23">
                  <c:v>4.0025999995123129E-2</c:v>
                </c:pt>
                <c:pt idx="24">
                  <c:v>3.7945999996736646E-2</c:v>
                </c:pt>
                <c:pt idx="25">
                  <c:v>3.766199999517994E-2</c:v>
                </c:pt>
                <c:pt idx="26">
                  <c:v>3.8515999993251171E-2</c:v>
                </c:pt>
                <c:pt idx="27">
                  <c:v>4.0035999998508487E-2</c:v>
                </c:pt>
                <c:pt idx="28">
                  <c:v>3.9779999991878867E-2</c:v>
                </c:pt>
                <c:pt idx="29">
                  <c:v>4.7421999777725432E-2</c:v>
                </c:pt>
                <c:pt idx="30">
                  <c:v>4.6842000083415769E-2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5A-4865-8388-4EC3BDE9885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Active!$L$21:$L$51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5A-4865-8388-4EC3BDE9885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Active!$M$21:$M$51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5A-4865-8388-4EC3BDE9885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Active!$N$21:$N$51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5A-4865-8388-4EC3BDE9885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Active!$F$21:$F$51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444</c:v>
                </c:pt>
                <c:pt idx="3">
                  <c:v>896</c:v>
                </c:pt>
                <c:pt idx="4">
                  <c:v>1473</c:v>
                </c:pt>
                <c:pt idx="5">
                  <c:v>1968</c:v>
                </c:pt>
                <c:pt idx="6">
                  <c:v>20085</c:v>
                </c:pt>
                <c:pt idx="7">
                  <c:v>20132</c:v>
                </c:pt>
                <c:pt idx="8">
                  <c:v>20135</c:v>
                </c:pt>
                <c:pt idx="9">
                  <c:v>20153</c:v>
                </c:pt>
                <c:pt idx="10">
                  <c:v>20605</c:v>
                </c:pt>
                <c:pt idx="11">
                  <c:v>20810</c:v>
                </c:pt>
                <c:pt idx="12">
                  <c:v>21107</c:v>
                </c:pt>
                <c:pt idx="13">
                  <c:v>21172</c:v>
                </c:pt>
                <c:pt idx="14">
                  <c:v>23144</c:v>
                </c:pt>
                <c:pt idx="15">
                  <c:v>24704</c:v>
                </c:pt>
                <c:pt idx="16">
                  <c:v>25191</c:v>
                </c:pt>
                <c:pt idx="17">
                  <c:v>25195</c:v>
                </c:pt>
                <c:pt idx="18">
                  <c:v>25195</c:v>
                </c:pt>
                <c:pt idx="19">
                  <c:v>25729</c:v>
                </c:pt>
                <c:pt idx="20">
                  <c:v>25793</c:v>
                </c:pt>
                <c:pt idx="21">
                  <c:v>26253</c:v>
                </c:pt>
                <c:pt idx="22">
                  <c:v>28345</c:v>
                </c:pt>
                <c:pt idx="23">
                  <c:v>29841</c:v>
                </c:pt>
                <c:pt idx="24">
                  <c:v>30361</c:v>
                </c:pt>
                <c:pt idx="25">
                  <c:v>30717</c:v>
                </c:pt>
                <c:pt idx="26">
                  <c:v>30856</c:v>
                </c:pt>
                <c:pt idx="27">
                  <c:v>32291</c:v>
                </c:pt>
                <c:pt idx="28">
                  <c:v>32370</c:v>
                </c:pt>
                <c:pt idx="29">
                  <c:v>32912</c:v>
                </c:pt>
                <c:pt idx="30">
                  <c:v>33342</c:v>
                </c:pt>
              </c:numCache>
            </c:numRef>
          </c:xVal>
          <c:yVal>
            <c:numRef>
              <c:f>Active!$O$21:$O$51</c:f>
              <c:numCache>
                <c:formatCode>General</c:formatCode>
                <c:ptCount val="31"/>
                <c:pt idx="0">
                  <c:v>9.2866818311015988E-3</c:v>
                </c:pt>
                <c:pt idx="1">
                  <c:v>9.2866818311015988E-3</c:v>
                </c:pt>
                <c:pt idx="2">
                  <c:v>9.7612830857708756E-3</c:v>
                </c:pt>
                <c:pt idx="3">
                  <c:v>1.0244435714398158E-2</c:v>
                </c:pt>
                <c:pt idx="4">
                  <c:v>1.0861203561119267E-2</c:v>
                </c:pt>
                <c:pt idx="5">
                  <c:v>1.1390319824770827E-2</c:v>
                </c:pt>
                <c:pt idx="6">
                  <c:v>3.0755975074417883E-2</c:v>
                </c:pt>
                <c:pt idx="7">
                  <c:v>3.0806214396421162E-2</c:v>
                </c:pt>
                <c:pt idx="8">
                  <c:v>3.0809421161655415E-2</c:v>
                </c:pt>
                <c:pt idx="9">
                  <c:v>3.0828661753060923E-2</c:v>
                </c:pt>
                <c:pt idx="10">
                  <c:v>3.1311814381688202E-2</c:v>
                </c:pt>
                <c:pt idx="11">
                  <c:v>3.1530943339362086E-2</c:v>
                </c:pt>
                <c:pt idx="12">
                  <c:v>3.184841309755302E-2</c:v>
                </c:pt>
                <c:pt idx="13">
                  <c:v>3.1917893010961811E-2</c:v>
                </c:pt>
                <c:pt idx="14">
                  <c:v>3.4025806691610039E-2</c:v>
                </c:pt>
                <c:pt idx="15">
                  <c:v>3.5693324613421014E-2</c:v>
                </c:pt>
                <c:pt idx="16">
                  <c:v>3.621388950311457E-2</c:v>
                </c:pt>
                <c:pt idx="17">
                  <c:v>3.6218165190093569E-2</c:v>
                </c:pt>
                <c:pt idx="18">
                  <c:v>3.6218165190093569E-2</c:v>
                </c:pt>
                <c:pt idx="19">
                  <c:v>3.6788969401790404E-2</c:v>
                </c:pt>
                <c:pt idx="20">
                  <c:v>3.6857380393454445E-2</c:v>
                </c:pt>
                <c:pt idx="21">
                  <c:v>3.7349084396039733E-2</c:v>
                </c:pt>
                <c:pt idx="22">
                  <c:v>3.9585268686058037E-2</c:v>
                </c:pt>
                <c:pt idx="23">
                  <c:v>4.1184375616204971E-2</c:v>
                </c:pt>
                <c:pt idx="24">
                  <c:v>4.1740214923475294E-2</c:v>
                </c:pt>
                <c:pt idx="25">
                  <c:v>4.2120751064606513E-2</c:v>
                </c:pt>
                <c:pt idx="26">
                  <c:v>4.2269331187126849E-2</c:v>
                </c:pt>
                <c:pt idx="27">
                  <c:v>4.3803233890843993E-2</c:v>
                </c:pt>
                <c:pt idx="28">
                  <c:v>4.3887678708679295E-2</c:v>
                </c:pt>
                <c:pt idx="29">
                  <c:v>4.4467034294334143E-2</c:v>
                </c:pt>
                <c:pt idx="30">
                  <c:v>4.4926670644576908E-2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5A-4865-8388-4EC3BDE9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8326480"/>
        <c:axId val="1"/>
      </c:scatterChart>
      <c:valAx>
        <c:axId val="748326480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58935485728860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9793814432989693E-2"/>
              <c:y val="0.41065896543496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832648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103092783505155"/>
          <c:y val="0.91222702177901738"/>
          <c:w val="0.86391752577319592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0</xdr:row>
      <xdr:rowOff>0</xdr:rowOff>
    </xdr:from>
    <xdr:to>
      <xdr:col>22</xdr:col>
      <xdr:colOff>171450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0BC2F4EF-A770-88FE-B98B-CB82C7E3C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200025</xdr:colOff>
      <xdr:row>0</xdr:row>
      <xdr:rowOff>0</xdr:rowOff>
    </xdr:from>
    <xdr:to>
      <xdr:col>14</xdr:col>
      <xdr:colOff>276225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33CDDD7-75F7-65B2-71CD-F9C497B19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4" TargetMode="External"/><Relationship Id="rId13" Type="http://schemas.openxmlformats.org/officeDocument/2006/relationships/hyperlink" Target="http://www.bav-astro.de/sfs/BAVM_link.php?BAVMnr=60" TargetMode="External"/><Relationship Id="rId18" Type="http://schemas.openxmlformats.org/officeDocument/2006/relationships/hyperlink" Target="http://vsolj.cetus-net.org/no46.pdf" TargetMode="External"/><Relationship Id="rId3" Type="http://schemas.openxmlformats.org/officeDocument/2006/relationships/hyperlink" Target="http://www.bav-astro.de/sfs/BAVM_link.php?BAVMnr=158" TargetMode="External"/><Relationship Id="rId7" Type="http://schemas.openxmlformats.org/officeDocument/2006/relationships/hyperlink" Target="http://www.konkoly.hu/cgi-bin/IBVS?6011" TargetMode="External"/><Relationship Id="rId12" Type="http://schemas.openxmlformats.org/officeDocument/2006/relationships/hyperlink" Target="http://www.bav-astro.de/sfs/BAVM_link.php?BAVMnr=60" TargetMode="External"/><Relationship Id="rId17" Type="http://schemas.openxmlformats.org/officeDocument/2006/relationships/hyperlink" Target="http://www.bav-astro.de/sfs/BAVM_link.php?BAVMnr=68" TargetMode="External"/><Relationship Id="rId2" Type="http://schemas.openxmlformats.org/officeDocument/2006/relationships/hyperlink" Target="http://www.konkoly.hu/cgi-bin/IBVS?5583" TargetMode="External"/><Relationship Id="rId16" Type="http://schemas.openxmlformats.org/officeDocument/2006/relationships/hyperlink" Target="http://www.bav-astro.de/sfs/BAVM_link.php?BAVMnr=68" TargetMode="External"/><Relationship Id="rId1" Type="http://schemas.openxmlformats.org/officeDocument/2006/relationships/hyperlink" Target="http://www.bav-astro.de/sfs/BAVM_link.php?BAVMnr=118" TargetMode="External"/><Relationship Id="rId6" Type="http://schemas.openxmlformats.org/officeDocument/2006/relationships/hyperlink" Target="http://www.konkoly.hu/cgi-bin/IBVS?5960" TargetMode="External"/><Relationship Id="rId11" Type="http://schemas.openxmlformats.org/officeDocument/2006/relationships/hyperlink" Target="http://www.bav-astro.de/sfs/BAVM_link.php?BAVMnr=60" TargetMode="External"/><Relationship Id="rId5" Type="http://schemas.openxmlformats.org/officeDocument/2006/relationships/hyperlink" Target="http://www.bav-astro.de/sfs/BAVM_link.php?BAVMnr=172" TargetMode="External"/><Relationship Id="rId15" Type="http://schemas.openxmlformats.org/officeDocument/2006/relationships/hyperlink" Target="http://www.bav-astro.de/sfs/BAVM_link.php?BAVMnr=62" TargetMode="External"/><Relationship Id="rId10" Type="http://schemas.openxmlformats.org/officeDocument/2006/relationships/hyperlink" Target="http://www.bav-astro.de/sfs/BAVM_link.php?BAVMnr=79" TargetMode="External"/><Relationship Id="rId4" Type="http://schemas.openxmlformats.org/officeDocument/2006/relationships/hyperlink" Target="http://www.konkoly.hu/cgi-bin/IBVS?5378" TargetMode="External"/><Relationship Id="rId9" Type="http://schemas.openxmlformats.org/officeDocument/2006/relationships/hyperlink" Target="http://www.konkoly.hu/cgi-bin/IBVS?6042" TargetMode="External"/><Relationship Id="rId14" Type="http://schemas.openxmlformats.org/officeDocument/2006/relationships/hyperlink" Target="http://www.bav-astro.de/sfs/BAVM_link.php?BAVMnr=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workbookViewId="0">
      <pane xSplit="14" ySplit="22" topLeftCell="O41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</row>
    <row r="4" spans="1:6" x14ac:dyDescent="0.2">
      <c r="A4" s="4" t="s">
        <v>3</v>
      </c>
      <c r="C4" s="5">
        <v>33981.925000000003</v>
      </c>
      <c r="D4" s="6">
        <v>0.72111400000000003</v>
      </c>
    </row>
    <row r="5" spans="1:6" x14ac:dyDescent="0.2">
      <c r="A5" s="7" t="s">
        <v>4</v>
      </c>
      <c r="B5"/>
      <c r="C5" s="8">
        <v>-9.5</v>
      </c>
      <c r="D5" t="s">
        <v>5</v>
      </c>
    </row>
    <row r="6" spans="1:6" x14ac:dyDescent="0.2">
      <c r="A6" s="4" t="s">
        <v>6</v>
      </c>
    </row>
    <row r="7" spans="1:6" x14ac:dyDescent="0.2">
      <c r="A7" s="1" t="s">
        <v>7</v>
      </c>
      <c r="C7" s="1">
        <f>+C4</f>
        <v>33981.925000000003</v>
      </c>
    </row>
    <row r="8" spans="1:6" x14ac:dyDescent="0.2">
      <c r="A8" s="1" t="s">
        <v>8</v>
      </c>
      <c r="C8" s="1">
        <f>+D4</f>
        <v>0.72111400000000003</v>
      </c>
    </row>
    <row r="9" spans="1:6" x14ac:dyDescent="0.2">
      <c r="A9" s="9" t="s">
        <v>9</v>
      </c>
      <c r="B9" s="10">
        <v>28</v>
      </c>
      <c r="C9" s="11" t="str">
        <f>"F"&amp;B9</f>
        <v>F28</v>
      </c>
      <c r="D9" s="12" t="str">
        <f>"G"&amp;B9</f>
        <v>G28</v>
      </c>
    </row>
    <row r="10" spans="1:6" x14ac:dyDescent="0.2">
      <c r="A10"/>
      <c r="B10"/>
      <c r="C10" s="13" t="s">
        <v>10</v>
      </c>
      <c r="D10" s="13" t="s">
        <v>11</v>
      </c>
      <c r="E10"/>
    </row>
    <row r="11" spans="1:6" x14ac:dyDescent="0.2">
      <c r="A11" t="s">
        <v>12</v>
      </c>
      <c r="B11"/>
      <c r="C11" s="14">
        <f ca="1">INTERCEPT(INDIRECT($D$9):G988,INDIRECT($C$9):F988)</f>
        <v>9.2866818311015988E-3</v>
      </c>
      <c r="D11" s="15"/>
      <c r="E11"/>
    </row>
    <row r="12" spans="1:6" x14ac:dyDescent="0.2">
      <c r="A12" t="s">
        <v>13</v>
      </c>
      <c r="B12"/>
      <c r="C12" s="14">
        <f ca="1">SLOPE(INDIRECT($D$9):G988,INDIRECT($C$9):F988)</f>
        <v>1.068921744750624E-6</v>
      </c>
      <c r="D12" s="15"/>
      <c r="E12"/>
    </row>
    <row r="13" spans="1:6" x14ac:dyDescent="0.2">
      <c r="A13" t="s">
        <v>14</v>
      </c>
      <c r="B13"/>
      <c r="C13" s="15" t="s">
        <v>15</v>
      </c>
    </row>
    <row r="14" spans="1:6" x14ac:dyDescent="0.2">
      <c r="A14"/>
      <c r="B14"/>
      <c r="C14"/>
    </row>
    <row r="15" spans="1:6" x14ac:dyDescent="0.2">
      <c r="A15" s="16" t="s">
        <v>16</v>
      </c>
      <c r="B15"/>
      <c r="C15" s="17">
        <f ca="1">(C7+C11)+(C8+C12)*INT(MAX(F21:F3529))</f>
        <v>59509.407726511599</v>
      </c>
      <c r="E15" s="18" t="s">
        <v>17</v>
      </c>
      <c r="F15" s="8">
        <v>1</v>
      </c>
    </row>
    <row r="16" spans="1:6" x14ac:dyDescent="0.2">
      <c r="A16" s="16" t="s">
        <v>18</v>
      </c>
      <c r="B16"/>
      <c r="C16" s="17">
        <f ca="1">+C8+C12</f>
        <v>0.72111506892174482</v>
      </c>
      <c r="E16" s="18" t="s">
        <v>19</v>
      </c>
      <c r="F16" s="14">
        <f ca="1">NOW()+15018.5+$C$5/24</f>
        <v>59965.757166666663</v>
      </c>
    </row>
    <row r="17" spans="1:17" x14ac:dyDescent="0.2">
      <c r="A17" s="18" t="s">
        <v>20</v>
      </c>
      <c r="B17"/>
      <c r="C17">
        <f>COUNT(C21:C2187)</f>
        <v>36</v>
      </c>
      <c r="E17" s="18" t="s">
        <v>21</v>
      </c>
      <c r="F17" s="14">
        <f ca="1">ROUND(2*(F16-$C$7)/$C$8,0)/2+F15</f>
        <v>36034</v>
      </c>
    </row>
    <row r="18" spans="1:17" x14ac:dyDescent="0.2">
      <c r="A18" s="16" t="s">
        <v>22</v>
      </c>
      <c r="B18"/>
      <c r="C18" s="19">
        <f ca="1">+C15</f>
        <v>59509.407726511599</v>
      </c>
      <c r="D18" s="20">
        <f ca="1">+C16</f>
        <v>0.72111506892174482</v>
      </c>
      <c r="E18" s="18" t="s">
        <v>23</v>
      </c>
      <c r="F18" s="12">
        <f ca="1">ROUND(2*(F16-$C$15)/$C$16,0)/2+F15</f>
        <v>634</v>
      </c>
    </row>
    <row r="19" spans="1:17" x14ac:dyDescent="0.2">
      <c r="E19" s="18" t="s">
        <v>24</v>
      </c>
      <c r="F19" s="21">
        <f ca="1">+$C$15+$C$16*F18-15018.5-$C$5/24</f>
        <v>44948.490513541321</v>
      </c>
    </row>
    <row r="20" spans="1:17" x14ac:dyDescent="0.2">
      <c r="A20" s="13" t="s">
        <v>25</v>
      </c>
      <c r="B20" s="13" t="s">
        <v>26</v>
      </c>
      <c r="C20" s="13" t="s">
        <v>27</v>
      </c>
      <c r="D20" s="13" t="s">
        <v>28</v>
      </c>
      <c r="E20" s="13" t="s">
        <v>29</v>
      </c>
      <c r="F20" s="13" t="s">
        <v>30</v>
      </c>
      <c r="G20" s="13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3" t="s">
        <v>41</v>
      </c>
    </row>
    <row r="21" spans="1:17" x14ac:dyDescent="0.2">
      <c r="A21" s="23" t="s">
        <v>42</v>
      </c>
      <c r="B21" s="24" t="s">
        <v>43</v>
      </c>
      <c r="C21" s="25">
        <v>33981.919000000002</v>
      </c>
      <c r="D21" s="26"/>
      <c r="E21" s="1">
        <f>+(C21-C$7)/C$8</f>
        <v>-8.3204597348302215E-3</v>
      </c>
      <c r="F21" s="1">
        <f>ROUND(2*E21,0)/2</f>
        <v>0</v>
      </c>
      <c r="G21" s="1">
        <f>+C21-(C$7+F21*C$8)</f>
        <v>-6.0000000012223609E-3</v>
      </c>
      <c r="H21" s="1">
        <f>G21</f>
        <v>-6.0000000012223609E-3</v>
      </c>
      <c r="O21" s="1">
        <f ca="1">+C$11+C$12*F21</f>
        <v>9.2866818311015988E-3</v>
      </c>
      <c r="Q21" s="66">
        <f>+C21-15018.5</f>
        <v>18963.419000000002</v>
      </c>
    </row>
    <row r="22" spans="1:17" x14ac:dyDescent="0.2">
      <c r="A22" s="1" t="s">
        <v>44</v>
      </c>
      <c r="C22" s="26">
        <v>33981.925000000003</v>
      </c>
      <c r="D22" s="26" t="s">
        <v>15</v>
      </c>
      <c r="E22" s="1">
        <f>+(C22-C$7)/C$8</f>
        <v>0</v>
      </c>
      <c r="F22" s="1">
        <f>ROUND(2*E22,0)/2</f>
        <v>0</v>
      </c>
      <c r="H22" s="12">
        <v>0</v>
      </c>
      <c r="O22" s="1">
        <f ca="1">+C$11+C$12*F22</f>
        <v>9.2866818311015988E-3</v>
      </c>
      <c r="Q22" s="66">
        <f>+C22-15018.5</f>
        <v>18963.425000000003</v>
      </c>
    </row>
    <row r="23" spans="1:17" x14ac:dyDescent="0.2">
      <c r="A23" s="23" t="s">
        <v>42</v>
      </c>
      <c r="B23" s="24" t="s">
        <v>43</v>
      </c>
      <c r="C23" s="25">
        <v>34302.106</v>
      </c>
      <c r="D23" s="26"/>
      <c r="E23" s="1">
        <f>+(C23-C$7)/C$8</f>
        <v>444.00885296915169</v>
      </c>
      <c r="F23" s="1">
        <f>ROUND(2*E23,0)/2</f>
        <v>444</v>
      </c>
      <c r="G23" s="1">
        <f>+C23-(C$7+F23*C$8)</f>
        <v>6.3840000002528541E-3</v>
      </c>
      <c r="H23" s="1">
        <f>G23</f>
        <v>6.3840000002528541E-3</v>
      </c>
      <c r="O23" s="1">
        <f ca="1">+C$11+C$12*F23</f>
        <v>9.7612830857708756E-3</v>
      </c>
      <c r="Q23" s="66">
        <f>+C23-15018.5</f>
        <v>19283.606</v>
      </c>
    </row>
    <row r="24" spans="1:17" x14ac:dyDescent="0.2">
      <c r="A24" s="23" t="s">
        <v>42</v>
      </c>
      <c r="B24" s="24" t="s">
        <v>43</v>
      </c>
      <c r="C24" s="25">
        <v>34628.044000000002</v>
      </c>
      <c r="D24" s="26"/>
      <c r="E24" s="1">
        <f>+(C24-C$7)/C$8</f>
        <v>896.0011870522535</v>
      </c>
      <c r="F24" s="1">
        <f>ROUND(2*E24,0)/2</f>
        <v>896</v>
      </c>
      <c r="G24" s="1">
        <f>+C24-(C$7+F24*C$8)</f>
        <v>8.5599999874830246E-4</v>
      </c>
      <c r="H24" s="1">
        <f>G24</f>
        <v>8.5599999874830246E-4</v>
      </c>
      <c r="O24" s="1">
        <f ca="1">+C$11+C$12*F24</f>
        <v>1.0244435714398158E-2</v>
      </c>
      <c r="Q24" s="66">
        <f>+C24-15018.5</f>
        <v>19609.544000000002</v>
      </c>
    </row>
    <row r="25" spans="1:17" x14ac:dyDescent="0.2">
      <c r="A25" s="23" t="s">
        <v>42</v>
      </c>
      <c r="B25" s="24" t="s">
        <v>43</v>
      </c>
      <c r="C25" s="25">
        <v>35044.125</v>
      </c>
      <c r="D25" s="26"/>
      <c r="E25" s="1">
        <f>+(C25-C$7)/C$8</f>
        <v>1472.9987214226835</v>
      </c>
      <c r="F25" s="1">
        <f>ROUND(2*E25,0)/2</f>
        <v>1473</v>
      </c>
      <c r="G25" s="1">
        <f>+C25-(C$7+F25*C$8)</f>
        <v>-9.2200000653974712E-4</v>
      </c>
      <c r="H25" s="1">
        <f>G25</f>
        <v>-9.2200000653974712E-4</v>
      </c>
      <c r="O25" s="1">
        <f ca="1">+C$11+C$12*F25</f>
        <v>1.0861203561119267E-2</v>
      </c>
      <c r="Q25" s="66">
        <f>+C25-15018.5</f>
        <v>20025.625</v>
      </c>
    </row>
    <row r="26" spans="1:17" x14ac:dyDescent="0.2">
      <c r="A26" s="23" t="s">
        <v>42</v>
      </c>
      <c r="B26" s="24" t="s">
        <v>43</v>
      </c>
      <c r="C26" s="25">
        <v>35401.078000000001</v>
      </c>
      <c r="D26" s="26"/>
      <c r="E26" s="1">
        <f>+(C26-C$7)/C$8</f>
        <v>1968.0008986096489</v>
      </c>
      <c r="F26" s="1">
        <f>ROUND(2*E26,0)/2</f>
        <v>1968</v>
      </c>
      <c r="G26" s="1">
        <f>+C26-(C$7+F26*C$8)</f>
        <v>6.4800000109244138E-4</v>
      </c>
      <c r="H26" s="1">
        <f>G26</f>
        <v>6.4800000109244138E-4</v>
      </c>
      <c r="O26" s="1">
        <f ca="1">+C$11+C$12*F26</f>
        <v>1.1390319824770827E-2</v>
      </c>
      <c r="Q26" s="66">
        <f>+C26-15018.5</f>
        <v>20382.578000000001</v>
      </c>
    </row>
    <row r="27" spans="1:17" x14ac:dyDescent="0.2">
      <c r="A27" s="23" t="s">
        <v>45</v>
      </c>
      <c r="B27" s="24" t="s">
        <v>43</v>
      </c>
      <c r="C27" s="25">
        <v>48465.538</v>
      </c>
      <c r="D27" s="26"/>
      <c r="E27" s="1">
        <f>+(C27-C$7)/C$8</f>
        <v>20085.053126135394</v>
      </c>
      <c r="F27" s="1">
        <f>ROUND(2*E27,0)/2</f>
        <v>20085</v>
      </c>
      <c r="G27" s="1">
        <f>+C27-(C$7+F27*C$8)</f>
        <v>3.8309999996272381E-2</v>
      </c>
      <c r="I27" s="1">
        <f>G27</f>
        <v>3.8309999996272381E-2</v>
      </c>
      <c r="O27" s="1">
        <f ca="1">+C$11+C$12*F27</f>
        <v>3.0755975074417883E-2</v>
      </c>
      <c r="Q27" s="66">
        <f>+C27-15018.5</f>
        <v>33447.038</v>
      </c>
    </row>
    <row r="28" spans="1:17" x14ac:dyDescent="0.2">
      <c r="A28" s="23" t="s">
        <v>46</v>
      </c>
      <c r="B28" s="24" t="s">
        <v>43</v>
      </c>
      <c r="C28" s="25">
        <v>48499.421000000002</v>
      </c>
      <c r="D28" s="26"/>
      <c r="E28" s="1">
        <f>+(C28-C$7)/C$8</f>
        <v>20132.040148991699</v>
      </c>
      <c r="F28" s="1">
        <f>ROUND(2*E28,0)/2</f>
        <v>20132</v>
      </c>
      <c r="G28" s="1">
        <f>+C28-(C$7+F28*C$8)</f>
        <v>2.8952000000572298E-2</v>
      </c>
      <c r="I28" s="1">
        <f>G28</f>
        <v>2.8952000000572298E-2</v>
      </c>
      <c r="O28" s="1">
        <f ca="1">+C$11+C$12*F28</f>
        <v>3.0806214396421162E-2</v>
      </c>
      <c r="Q28" s="66">
        <f>+C28-15018.5</f>
        <v>33480.921000000002</v>
      </c>
    </row>
    <row r="29" spans="1:17" x14ac:dyDescent="0.2">
      <c r="A29" s="23" t="s">
        <v>46</v>
      </c>
      <c r="B29" s="24" t="s">
        <v>43</v>
      </c>
      <c r="C29" s="25">
        <v>48501.588000000003</v>
      </c>
      <c r="D29" s="26"/>
      <c r="E29" s="1">
        <f>+(C29-C$7)/C$8</f>
        <v>20135.045221698649</v>
      </c>
      <c r="F29" s="1">
        <f>ROUND(2*E29,0)/2</f>
        <v>20135</v>
      </c>
      <c r="G29" s="1">
        <f>+C29-(C$7+F29*C$8)</f>
        <v>3.2610000002023298E-2</v>
      </c>
      <c r="I29" s="1">
        <f>G29</f>
        <v>3.2610000002023298E-2</v>
      </c>
      <c r="O29" s="1">
        <f ca="1">+C$11+C$12*F29</f>
        <v>3.0809421161655415E-2</v>
      </c>
      <c r="Q29" s="66">
        <f>+C29-15018.5</f>
        <v>33483.088000000003</v>
      </c>
    </row>
    <row r="30" spans="1:17" x14ac:dyDescent="0.2">
      <c r="A30" s="23" t="s">
        <v>46</v>
      </c>
      <c r="B30" s="24" t="s">
        <v>43</v>
      </c>
      <c r="C30" s="25">
        <v>48514.565999999999</v>
      </c>
      <c r="D30" s="26"/>
      <c r="E30" s="1">
        <f>+(C30-C$7)/C$8</f>
        <v>20153.042376101414</v>
      </c>
      <c r="F30" s="1">
        <f>ROUND(2*E30,0)/2</f>
        <v>20153</v>
      </c>
      <c r="G30" s="1">
        <f>+C30-(C$7+F30*C$8)</f>
        <v>3.0557999991287943E-2</v>
      </c>
      <c r="I30" s="1">
        <f>G30</f>
        <v>3.0557999991287943E-2</v>
      </c>
      <c r="O30" s="1">
        <f ca="1">+C$11+C$12*F30</f>
        <v>3.0828661753060923E-2</v>
      </c>
      <c r="Q30" s="66">
        <f>+C30-15018.5</f>
        <v>33496.065999999999</v>
      </c>
    </row>
    <row r="31" spans="1:17" x14ac:dyDescent="0.2">
      <c r="A31" s="23" t="s">
        <v>47</v>
      </c>
      <c r="B31" s="24" t="s">
        <v>43</v>
      </c>
      <c r="C31" s="25">
        <v>48840.508999999998</v>
      </c>
      <c r="D31" s="26"/>
      <c r="E31" s="1">
        <f>+(C31-C$7)/C$8</f>
        <v>20605.041643900957</v>
      </c>
      <c r="F31" s="1">
        <f>ROUND(2*E31,0)/2</f>
        <v>20605</v>
      </c>
      <c r="G31" s="1">
        <f>+C31-(C$7+F31*C$8)</f>
        <v>3.0029999994440004E-2</v>
      </c>
      <c r="I31" s="1">
        <f>G31</f>
        <v>3.0029999994440004E-2</v>
      </c>
      <c r="O31" s="1">
        <f ca="1">+C$11+C$12*F31</f>
        <v>3.1311814381688202E-2</v>
      </c>
      <c r="Q31" s="66">
        <f>+C31-15018.5</f>
        <v>33822.008999999998</v>
      </c>
    </row>
    <row r="32" spans="1:17" x14ac:dyDescent="0.2">
      <c r="A32" s="23" t="s">
        <v>48</v>
      </c>
      <c r="B32" s="24" t="s">
        <v>43</v>
      </c>
      <c r="C32" s="25">
        <v>48988.343999999997</v>
      </c>
      <c r="D32" s="26"/>
      <c r="E32" s="1">
        <f>+(C32-C$7)/C$8</f>
        <v>20810.05083800896</v>
      </c>
      <c r="F32" s="1">
        <f>ROUND(2*E32,0)/2</f>
        <v>20810</v>
      </c>
      <c r="G32" s="1">
        <f>+C32-(C$7+F32*C$8)</f>
        <v>3.665999999793712E-2</v>
      </c>
      <c r="I32" s="1">
        <f>G32</f>
        <v>3.665999999793712E-2</v>
      </c>
      <c r="O32" s="1">
        <f ca="1">+C$11+C$12*F32</f>
        <v>3.1530943339362086E-2</v>
      </c>
      <c r="Q32" s="66">
        <f>+C32-15018.5</f>
        <v>33969.843999999997</v>
      </c>
    </row>
    <row r="33" spans="1:17" x14ac:dyDescent="0.2">
      <c r="A33" s="23" t="s">
        <v>49</v>
      </c>
      <c r="B33" s="24" t="s">
        <v>43</v>
      </c>
      <c r="C33" s="25">
        <v>49202.519399999997</v>
      </c>
      <c r="D33" s="26"/>
      <c r="E33" s="1">
        <f>+(C33-C$7)/C$8</f>
        <v>21107.057136596977</v>
      </c>
      <c r="F33" s="1">
        <f>ROUND(2*E33,0)/2</f>
        <v>21107</v>
      </c>
      <c r="G33" s="1">
        <f>+C33-(C$7+F33*C$8)</f>
        <v>4.1201999993063509E-2</v>
      </c>
      <c r="J33" s="1">
        <f>G33</f>
        <v>4.1201999993063509E-2</v>
      </c>
      <c r="O33" s="1">
        <f ca="1">+C$11+C$12*F33</f>
        <v>3.184841309755302E-2</v>
      </c>
      <c r="Q33" s="66">
        <f>+C33-15018.5</f>
        <v>34184.019399999997</v>
      </c>
    </row>
    <row r="34" spans="1:17" x14ac:dyDescent="0.2">
      <c r="A34" s="23" t="s">
        <v>49</v>
      </c>
      <c r="B34" s="24" t="s">
        <v>43</v>
      </c>
      <c r="C34" s="25">
        <v>49249.386299999998</v>
      </c>
      <c r="D34" s="26"/>
      <c r="E34" s="1">
        <f>+(C34-C$7)/C$8</f>
        <v>21172.049495641459</v>
      </c>
      <c r="F34" s="1">
        <f>ROUND(2*E34,0)/2</f>
        <v>21172</v>
      </c>
      <c r="G34" s="1">
        <f>+C34-(C$7+F34*C$8)</f>
        <v>3.5691999990376644E-2</v>
      </c>
      <c r="J34" s="1">
        <f>G34</f>
        <v>3.5691999990376644E-2</v>
      </c>
      <c r="O34" s="1">
        <f ca="1">+C$11+C$12*F34</f>
        <v>3.1917893010961811E-2</v>
      </c>
      <c r="Q34" s="66">
        <f>+C34-15018.5</f>
        <v>34230.886299999998</v>
      </c>
    </row>
    <row r="35" spans="1:17" x14ac:dyDescent="0.2">
      <c r="A35" s="1" t="s">
        <v>50</v>
      </c>
      <c r="C35" s="26">
        <v>50671.421600000001</v>
      </c>
      <c r="D35" s="26">
        <v>1.1000000000000001E-3</v>
      </c>
      <c r="E35" s="1">
        <f>+(C35-C$7)/C$8</f>
        <v>23144.047404432582</v>
      </c>
      <c r="F35" s="1">
        <f>ROUND(2*E35,0)/2</f>
        <v>23144</v>
      </c>
      <c r="G35" s="1">
        <f>+C35-(C$7+F35*C$8)</f>
        <v>3.4183999996457715E-2</v>
      </c>
      <c r="J35" s="1">
        <f>G35</f>
        <v>3.4183999996457715E-2</v>
      </c>
      <c r="O35" s="1">
        <f ca="1">+C$11+C$12*F35</f>
        <v>3.4025806691610039E-2</v>
      </c>
      <c r="Q35" s="66">
        <f>+C35-15018.5</f>
        <v>35652.921600000001</v>
      </c>
    </row>
    <row r="36" spans="1:17" x14ac:dyDescent="0.2">
      <c r="A36" s="23" t="s">
        <v>51</v>
      </c>
      <c r="B36" s="24" t="s">
        <v>43</v>
      </c>
      <c r="C36" s="25">
        <v>51796.354500000001</v>
      </c>
      <c r="D36" s="26"/>
      <c r="E36" s="1">
        <f>+(C36-C$7)/C$8</f>
        <v>24704.040553920735</v>
      </c>
      <c r="F36" s="1">
        <f>ROUND(2*E36,0)/2</f>
        <v>24704</v>
      </c>
      <c r="G36" s="1">
        <f>+C36-(C$7+F36*C$8)</f>
        <v>2.9243999997561332E-2</v>
      </c>
      <c r="K36" s="1">
        <f>G36</f>
        <v>2.9243999997561332E-2</v>
      </c>
      <c r="O36" s="1">
        <f ca="1">+C$11+C$12*F36</f>
        <v>3.5693324613421014E-2</v>
      </c>
      <c r="Q36" s="66">
        <f>+C36-15018.5</f>
        <v>36777.854500000001</v>
      </c>
    </row>
    <row r="37" spans="1:17" x14ac:dyDescent="0.2">
      <c r="A37" s="27" t="s">
        <v>52</v>
      </c>
      <c r="B37" s="28" t="s">
        <v>43</v>
      </c>
      <c r="C37" s="27">
        <v>52147.545599999998</v>
      </c>
      <c r="D37" s="29">
        <v>2.3999999999999998E-3</v>
      </c>
      <c r="E37" s="1">
        <f>+(C37-C$7)/C$8</f>
        <v>25191.052454951638</v>
      </c>
      <c r="F37" s="1">
        <f>ROUND(2*E37,0)/2</f>
        <v>25191</v>
      </c>
      <c r="G37" s="1">
        <f>+C37-(C$7+F37*C$8)</f>
        <v>3.7825999992492143E-2</v>
      </c>
      <c r="K37" s="1">
        <f>G37</f>
        <v>3.7825999992492143E-2</v>
      </c>
      <c r="O37" s="1">
        <f ca="1">+C$11+C$12*F37</f>
        <v>3.621388950311457E-2</v>
      </c>
      <c r="Q37" s="66">
        <f>+C37-15018.5</f>
        <v>37129.045599999998</v>
      </c>
    </row>
    <row r="38" spans="1:17" x14ac:dyDescent="0.2">
      <c r="A38" s="1" t="s">
        <v>53</v>
      </c>
      <c r="C38" s="26">
        <v>52150.426800000001</v>
      </c>
      <c r="D38" s="26">
        <v>2.0000000000000001E-4</v>
      </c>
      <c r="E38" s="1">
        <f>+(C38-C$7)/C$8</f>
        <v>25195.047939715492</v>
      </c>
      <c r="F38" s="1">
        <f>ROUND(2*E38,0)/2</f>
        <v>25195</v>
      </c>
      <c r="G38" s="1">
        <f>+C38-(C$7+F38*C$8)</f>
        <v>3.4569999996165279E-2</v>
      </c>
      <c r="K38" s="1">
        <f>G38</f>
        <v>3.4569999996165279E-2</v>
      </c>
      <c r="O38" s="1">
        <f ca="1">+C$11+C$12*F38</f>
        <v>3.6218165190093569E-2</v>
      </c>
      <c r="Q38" s="66">
        <f>+C38-15018.5</f>
        <v>37131.926800000001</v>
      </c>
    </row>
    <row r="39" spans="1:17" x14ac:dyDescent="0.2">
      <c r="A39" s="30" t="s">
        <v>53</v>
      </c>
      <c r="B39" s="28"/>
      <c r="C39" s="31">
        <v>52150.426800000001</v>
      </c>
      <c r="D39" s="31">
        <v>2.0000000000000001E-4</v>
      </c>
      <c r="E39" s="1">
        <f>+(C39-C$7)/C$8</f>
        <v>25195.047939715492</v>
      </c>
      <c r="F39" s="1">
        <f>ROUND(2*E39,0)/2</f>
        <v>25195</v>
      </c>
      <c r="G39" s="1">
        <f>+C39-(C$7+F39*C$8)</f>
        <v>3.4569999996165279E-2</v>
      </c>
      <c r="K39" s="1">
        <f>G39</f>
        <v>3.4569999996165279E-2</v>
      </c>
      <c r="O39" s="1">
        <f ca="1">+C$11+C$12*F39</f>
        <v>3.6218165190093569E-2</v>
      </c>
      <c r="Q39" s="66">
        <f>+C39-15018.5</f>
        <v>37131.926800000001</v>
      </c>
    </row>
    <row r="40" spans="1:17" x14ac:dyDescent="0.2">
      <c r="A40" s="32" t="s">
        <v>54</v>
      </c>
      <c r="B40" s="33" t="s">
        <v>43</v>
      </c>
      <c r="C40" s="34">
        <v>52535.502</v>
      </c>
      <c r="D40" s="34">
        <v>2E-3</v>
      </c>
      <c r="E40" s="1">
        <f>+(C40-C$7)/C$8</f>
        <v>25729.048389020318</v>
      </c>
      <c r="F40" s="1">
        <f>ROUND(2*E40,0)/2</f>
        <v>25729</v>
      </c>
      <c r="G40" s="1">
        <f>+C40-(C$7+F40*C$8)</f>
        <v>3.48939999967115E-2</v>
      </c>
      <c r="K40" s="1">
        <f>G40</f>
        <v>3.48939999967115E-2</v>
      </c>
      <c r="O40" s="1">
        <f ca="1">+C$11+C$12*F40</f>
        <v>3.6788969401790404E-2</v>
      </c>
      <c r="Q40" s="66">
        <f>+C40-15018.5</f>
        <v>37517.002</v>
      </c>
    </row>
    <row r="41" spans="1:17" x14ac:dyDescent="0.2">
      <c r="A41" s="35" t="s">
        <v>55</v>
      </c>
      <c r="B41" s="35"/>
      <c r="C41" s="34">
        <v>52581.652800000003</v>
      </c>
      <c r="D41" s="34">
        <v>2.0000000000000001E-4</v>
      </c>
      <c r="E41" s="1">
        <f>+(C41-C$7)/C$8</f>
        <v>25793.04770119565</v>
      </c>
      <c r="F41" s="1">
        <f>ROUND(2*E41,0)/2</f>
        <v>25793</v>
      </c>
      <c r="G41" s="1">
        <f>+C41-(C$7+F41*C$8)</f>
        <v>3.439799999614479E-2</v>
      </c>
      <c r="K41" s="1">
        <f>G41</f>
        <v>3.439799999614479E-2</v>
      </c>
      <c r="O41" s="1">
        <f ca="1">+C$11+C$12*F41</f>
        <v>3.6857380393454445E-2</v>
      </c>
      <c r="Q41" s="66">
        <f>+C41-15018.5</f>
        <v>37563.152800000003</v>
      </c>
    </row>
    <row r="42" spans="1:17" x14ac:dyDescent="0.2">
      <c r="A42" s="36" t="s">
        <v>56</v>
      </c>
      <c r="B42" s="37"/>
      <c r="C42" s="38">
        <v>52913.364600000001</v>
      </c>
      <c r="D42" s="38">
        <v>2.0000000000000001E-4</v>
      </c>
      <c r="E42" s="1">
        <f>+(C42-C$7)/C$8</f>
        <v>26253.046813679943</v>
      </c>
      <c r="F42" s="1">
        <f>ROUND(2*E42,0)/2</f>
        <v>26253</v>
      </c>
      <c r="G42" s="1">
        <f>+C42-(C$7+F42*C$8)</f>
        <v>3.3757999997760635E-2</v>
      </c>
      <c r="K42" s="1">
        <f>G42</f>
        <v>3.3757999997760635E-2</v>
      </c>
      <c r="O42" s="1">
        <f ca="1">+C$11+C$12*F42</f>
        <v>3.7349084396039733E-2</v>
      </c>
      <c r="Q42" s="66">
        <f>+C42-15018.5</f>
        <v>37894.864600000001</v>
      </c>
    </row>
    <row r="43" spans="1:17" x14ac:dyDescent="0.2">
      <c r="A43" s="23" t="s">
        <v>57</v>
      </c>
      <c r="B43" s="24" t="s">
        <v>43</v>
      </c>
      <c r="C43" s="25">
        <v>54421.938999999998</v>
      </c>
      <c r="D43" s="26"/>
      <c r="E43" s="1">
        <f>+(C43-C$7)/C$8</f>
        <v>28345.052238619683</v>
      </c>
      <c r="F43" s="1">
        <f>ROUND(2*E43,0)/2</f>
        <v>28345</v>
      </c>
      <c r="G43" s="1">
        <f>+C43-(C$7+F43*C$8)</f>
        <v>3.7669999990612268E-2</v>
      </c>
      <c r="K43" s="1">
        <f>G43</f>
        <v>3.7669999990612268E-2</v>
      </c>
      <c r="O43" s="1">
        <f ca="1">+C$11+C$12*F43</f>
        <v>3.9585268686058037E-2</v>
      </c>
      <c r="Q43" s="66">
        <f>+C43-15018.5</f>
        <v>39403.438999999998</v>
      </c>
    </row>
    <row r="44" spans="1:17" x14ac:dyDescent="0.2">
      <c r="A44" s="32" t="s">
        <v>58</v>
      </c>
      <c r="B44" s="33" t="s">
        <v>43</v>
      </c>
      <c r="C44" s="34">
        <v>55500.727899999998</v>
      </c>
      <c r="D44" s="34">
        <v>4.0000000000000002E-4</v>
      </c>
      <c r="E44" s="1">
        <f>+(C44-C$7)/C$8</f>
        <v>29841.055505786873</v>
      </c>
      <c r="F44" s="1">
        <f>ROUND(2*E44,0)/2</f>
        <v>29841</v>
      </c>
      <c r="G44" s="1">
        <f>+C44-(C$7+F44*C$8)</f>
        <v>4.0025999995123129E-2</v>
      </c>
      <c r="K44" s="1">
        <f>G44</f>
        <v>4.0025999995123129E-2</v>
      </c>
      <c r="O44" s="1">
        <f ca="1">+C$11+C$12*F44</f>
        <v>4.1184375616204971E-2</v>
      </c>
      <c r="Q44" s="66">
        <f>+C44-15018.5</f>
        <v>40482.227899999998</v>
      </c>
    </row>
    <row r="45" spans="1:17" x14ac:dyDescent="0.2">
      <c r="A45" s="39" t="s">
        <v>59</v>
      </c>
      <c r="B45" s="40" t="s">
        <v>43</v>
      </c>
      <c r="C45" s="39">
        <v>55875.705099999999</v>
      </c>
      <c r="D45" s="39">
        <v>2.9999999999999997E-4</v>
      </c>
      <c r="E45" s="1">
        <f>+(C45-C$7)/C$8</f>
        <v>30361.052621360832</v>
      </c>
      <c r="F45" s="1">
        <f>ROUND(2*E45,0)/2</f>
        <v>30361</v>
      </c>
      <c r="G45" s="1">
        <f>+C45-(C$7+F45*C$8)</f>
        <v>3.7945999996736646E-2</v>
      </c>
      <c r="K45" s="1">
        <f>G45</f>
        <v>3.7945999996736646E-2</v>
      </c>
      <c r="O45" s="1">
        <f ca="1">+C$11+C$12*F45</f>
        <v>4.1740214923475294E-2</v>
      </c>
      <c r="Q45" s="66">
        <f>+C45-15018.5</f>
        <v>40857.205099999999</v>
      </c>
    </row>
    <row r="46" spans="1:17" x14ac:dyDescent="0.2">
      <c r="A46" s="41" t="s">
        <v>60</v>
      </c>
      <c r="B46" s="42" t="s">
        <v>43</v>
      </c>
      <c r="C46" s="43">
        <v>56132.421399999999</v>
      </c>
      <c r="D46" s="44">
        <v>2.0000000000000001E-4</v>
      </c>
      <c r="E46" s="1">
        <f>+(C46-C$7)/C$8</f>
        <v>30717.052227525739</v>
      </c>
      <c r="F46" s="1">
        <f>ROUND(2*E46,0)/2</f>
        <v>30717</v>
      </c>
      <c r="G46" s="1">
        <f>+C46-(C$7+F46*C$8)</f>
        <v>3.766199999517994E-2</v>
      </c>
      <c r="K46" s="1">
        <f>G46</f>
        <v>3.766199999517994E-2</v>
      </c>
      <c r="O46" s="1">
        <f ca="1">+C$11+C$12*F46</f>
        <v>4.2120751064606513E-2</v>
      </c>
      <c r="Q46" s="66">
        <f>+C46-15018.5</f>
        <v>41113.921399999999</v>
      </c>
    </row>
    <row r="47" spans="1:17" x14ac:dyDescent="0.2">
      <c r="A47" s="32" t="s">
        <v>61</v>
      </c>
      <c r="B47" s="33" t="s">
        <v>43</v>
      </c>
      <c r="C47" s="34">
        <v>56232.657099999997</v>
      </c>
      <c r="D47" s="34">
        <v>3.0000000000000003E-4</v>
      </c>
      <c r="E47" s="1">
        <f>+(C47-C$7)/C$8</f>
        <v>30856.053411804503</v>
      </c>
      <c r="F47" s="1">
        <f>ROUND(2*E47,0)/2</f>
        <v>30856</v>
      </c>
      <c r="G47" s="1">
        <f>+C47-(C$7+F47*C$8)</f>
        <v>3.8515999993251171E-2</v>
      </c>
      <c r="K47" s="1">
        <f>G47</f>
        <v>3.8515999993251171E-2</v>
      </c>
      <c r="O47" s="1">
        <f ca="1">+C$11+C$12*F47</f>
        <v>4.2269331187126849E-2</v>
      </c>
      <c r="Q47" s="66">
        <f>+C47-15018.5</f>
        <v>41214.157099999997</v>
      </c>
    </row>
    <row r="48" spans="1:17" x14ac:dyDescent="0.2">
      <c r="A48" s="45" t="s">
        <v>62</v>
      </c>
      <c r="B48" s="46" t="s">
        <v>43</v>
      </c>
      <c r="C48" s="47">
        <v>57267.45721</v>
      </c>
      <c r="D48" s="47">
        <v>2.0000000000000001E-4</v>
      </c>
      <c r="E48" s="1">
        <f>+(C48-C$7)/C$8</f>
        <v>32291.055519654306</v>
      </c>
      <c r="F48" s="1">
        <f>ROUND(2*E48,0)/2</f>
        <v>32291</v>
      </c>
      <c r="G48" s="1">
        <f>+C48-(C$7+F48*C$8)</f>
        <v>4.0035999998508487E-2</v>
      </c>
      <c r="K48" s="1">
        <f>G48</f>
        <v>4.0035999998508487E-2</v>
      </c>
      <c r="O48" s="1">
        <f ca="1">+C$11+C$12*F48</f>
        <v>4.3803233890843993E-2</v>
      </c>
      <c r="Q48" s="66">
        <f>+C48-15018.5</f>
        <v>42248.95721</v>
      </c>
    </row>
    <row r="49" spans="1:17" x14ac:dyDescent="0.2">
      <c r="A49" s="45" t="s">
        <v>62</v>
      </c>
      <c r="B49" s="46" t="s">
        <v>43</v>
      </c>
      <c r="C49" s="47">
        <v>57324.424959999997</v>
      </c>
      <c r="D49" s="47">
        <v>1E-4</v>
      </c>
      <c r="E49" s="1">
        <f>+(C49-C$7)/C$8</f>
        <v>32370.05516464802</v>
      </c>
      <c r="F49" s="1">
        <f>ROUND(2*E49,0)/2</f>
        <v>32370</v>
      </c>
      <c r="G49" s="1">
        <f>+C49-(C$7+F49*C$8)</f>
        <v>3.9779999991878867E-2</v>
      </c>
      <c r="K49" s="1">
        <f>G49</f>
        <v>3.9779999991878867E-2</v>
      </c>
      <c r="O49" s="1">
        <f ca="1">+C$11+C$12*F49</f>
        <v>4.3887678708679295E-2</v>
      </c>
      <c r="Q49" s="66">
        <f>+C49-15018.5</f>
        <v>42305.924959999997</v>
      </c>
    </row>
    <row r="50" spans="1:17" x14ac:dyDescent="0.2">
      <c r="A50" s="48" t="s">
        <v>63</v>
      </c>
      <c r="B50" s="49" t="s">
        <v>43</v>
      </c>
      <c r="C50" s="50">
        <v>57715.276389999781</v>
      </c>
      <c r="D50" s="50">
        <v>2.9999999999999997E-4</v>
      </c>
      <c r="E50" s="1">
        <f>+(C50-C$7)/C$8</f>
        <v>32912.065762139937</v>
      </c>
      <c r="F50" s="1">
        <f>ROUND(2*E50,0)/2</f>
        <v>32912</v>
      </c>
      <c r="G50" s="1">
        <f>+C50-(C$7+F50*C$8)</f>
        <v>4.7421999777725432E-2</v>
      </c>
      <c r="K50" s="1">
        <f>G50</f>
        <v>4.7421999777725432E-2</v>
      </c>
      <c r="O50" s="1">
        <f ca="1">+C$11+C$12*F50</f>
        <v>4.4467034294334143E-2</v>
      </c>
      <c r="Q50" s="66">
        <f>+C50-15018.5</f>
        <v>42696.776389999781</v>
      </c>
    </row>
    <row r="51" spans="1:17" x14ac:dyDescent="0.2">
      <c r="A51" s="48" t="s">
        <v>63</v>
      </c>
      <c r="B51" s="49" t="s">
        <v>43</v>
      </c>
      <c r="C51" s="50">
        <v>58025.354830000084</v>
      </c>
      <c r="D51" s="50">
        <v>1E-4</v>
      </c>
      <c r="E51" s="1">
        <f>+(C51-C$7)/C$8</f>
        <v>33342.06495782925</v>
      </c>
      <c r="F51" s="1">
        <f>ROUND(2*E51,0)/2</f>
        <v>33342</v>
      </c>
      <c r="G51" s="1">
        <f>+C51-(C$7+F51*C$8)</f>
        <v>4.6842000083415769E-2</v>
      </c>
      <c r="K51" s="1">
        <f>G51</f>
        <v>4.6842000083415769E-2</v>
      </c>
      <c r="O51" s="1">
        <f ca="1">+C$11+C$12*F51</f>
        <v>4.4926670644576908E-2</v>
      </c>
      <c r="Q51" s="66">
        <f>+C51-15018.5</f>
        <v>43006.854830000084</v>
      </c>
    </row>
    <row r="52" spans="1:17" x14ac:dyDescent="0.2">
      <c r="A52" s="63" t="s">
        <v>171</v>
      </c>
      <c r="B52" s="64" t="s">
        <v>43</v>
      </c>
      <c r="C52" s="65">
        <v>59082.511899999998</v>
      </c>
      <c r="D52" s="65">
        <v>2.9999999999999997E-4</v>
      </c>
      <c r="E52" s="1">
        <f>+(C52-C$7)/C$8</f>
        <v>34808.070429918145</v>
      </c>
      <c r="F52" s="1">
        <f>ROUND(2*E52,0)/2</f>
        <v>34808</v>
      </c>
      <c r="G52" s="1">
        <f>+C52-(C$7+F52*C$8)</f>
        <v>5.0787999993190169E-2</v>
      </c>
      <c r="K52" s="1">
        <f>G52</f>
        <v>5.0787999993190169E-2</v>
      </c>
      <c r="O52" s="1">
        <f ca="1">+C$11+C$12*F52</f>
        <v>4.6493709922381318E-2</v>
      </c>
      <c r="Q52" s="66">
        <f>+C52-15018.5</f>
        <v>44064.011899999998</v>
      </c>
    </row>
    <row r="53" spans="1:17" ht="12" customHeight="1" x14ac:dyDescent="0.2">
      <c r="A53" s="63" t="s">
        <v>171</v>
      </c>
      <c r="B53" s="64" t="s">
        <v>43</v>
      </c>
      <c r="C53" s="65">
        <v>59095.4928</v>
      </c>
      <c r="D53" s="65">
        <v>1E-4</v>
      </c>
      <c r="E53" s="1">
        <f>+(C53-C$7)/C$8</f>
        <v>34826.071605876459</v>
      </c>
      <c r="F53" s="1">
        <f>ROUND(2*E53,0)/2</f>
        <v>34826</v>
      </c>
      <c r="G53" s="1">
        <f>+C53-(C$7+F53*C$8)</f>
        <v>5.1635999996506143E-2</v>
      </c>
      <c r="K53" s="1">
        <f>G53</f>
        <v>5.1635999996506143E-2</v>
      </c>
      <c r="O53" s="1">
        <f ca="1">+C$11+C$12*F53</f>
        <v>4.651295051378683E-2</v>
      </c>
      <c r="Q53" s="66">
        <f>+C53-15018.5</f>
        <v>44076.9928</v>
      </c>
    </row>
    <row r="54" spans="1:17" ht="12" customHeight="1" x14ac:dyDescent="0.2">
      <c r="A54" s="63" t="s">
        <v>171</v>
      </c>
      <c r="B54" s="64" t="s">
        <v>43</v>
      </c>
      <c r="C54" s="65">
        <v>59120.008699999998</v>
      </c>
      <c r="D54" s="65">
        <v>2.0000000000000001E-4</v>
      </c>
      <c r="E54" s="1">
        <f>+(C54-C$7)/C$8</f>
        <v>34860.068865671718</v>
      </c>
      <c r="F54" s="1">
        <f>ROUND(2*E54,0)/2</f>
        <v>34860</v>
      </c>
      <c r="G54" s="1">
        <f>+C54-(C$7+F54*C$8)</f>
        <v>4.965999999694759E-2</v>
      </c>
      <c r="K54" s="1">
        <f>G54</f>
        <v>4.965999999694759E-2</v>
      </c>
      <c r="O54" s="1">
        <f ca="1">+C$11+C$12*F54</f>
        <v>4.6549293853108353E-2</v>
      </c>
      <c r="Q54" s="66">
        <f>+C54-15018.5</f>
        <v>44101.508699999998</v>
      </c>
    </row>
    <row r="55" spans="1:17" ht="12" customHeight="1" x14ac:dyDescent="0.2">
      <c r="A55" s="63" t="s">
        <v>171</v>
      </c>
      <c r="B55" s="64" t="s">
        <v>172</v>
      </c>
      <c r="C55" s="65">
        <v>59120.372499999998</v>
      </c>
      <c r="D55" s="65">
        <v>4.0000000000000002E-4</v>
      </c>
      <c r="E55" s="1">
        <f>+(C55-C$7)/C$8</f>
        <v>34860.573362880205</v>
      </c>
      <c r="F55" s="1">
        <f>ROUND(2*E55,0)/2</f>
        <v>34860.5</v>
      </c>
      <c r="G55" s="1">
        <f>+C55-(C$7+F55*C$8)</f>
        <v>5.2902999988873489E-2</v>
      </c>
      <c r="K55" s="1">
        <f>G55</f>
        <v>5.2902999988873489E-2</v>
      </c>
      <c r="O55" s="1">
        <f ca="1">+C$11+C$12*F55</f>
        <v>4.6549828313980732E-2</v>
      </c>
      <c r="Q55" s="66">
        <f>+C55-15018.5</f>
        <v>44101.872499999998</v>
      </c>
    </row>
    <row r="56" spans="1:17" ht="12" customHeight="1" x14ac:dyDescent="0.2">
      <c r="A56" s="70" t="s">
        <v>173</v>
      </c>
      <c r="B56" s="68" t="s">
        <v>43</v>
      </c>
      <c r="C56" s="69">
        <v>59509.406199999998</v>
      </c>
      <c r="D56" s="67">
        <v>2.0000000000000001E-4</v>
      </c>
      <c r="E56" s="1">
        <f>+(C56-C$7)/C$8</f>
        <v>35400.063235493966</v>
      </c>
      <c r="F56" s="1">
        <f>ROUND(2*E56,0)/2</f>
        <v>35400</v>
      </c>
      <c r="G56" s="1">
        <f>+C56-(C$7+F56*C$8)</f>
        <v>4.559999999764841E-2</v>
      </c>
      <c r="K56" s="1">
        <f>G56</f>
        <v>4.559999999764841E-2</v>
      </c>
      <c r="O56" s="1">
        <f ca="1">+C$11+C$12*F56</f>
        <v>4.7126511595273687E-2</v>
      </c>
      <c r="Q56" s="66">
        <f>+C56-15018.5</f>
        <v>44490.906199999998</v>
      </c>
    </row>
    <row r="57" spans="1:17" ht="12" customHeight="1" x14ac:dyDescent="0.2"/>
  </sheetData>
  <sheetProtection selectLockedCells="1" selectUnlockedCells="1"/>
  <sortState xmlns:xlrd2="http://schemas.microsoft.com/office/spreadsheetml/2017/richdata2" ref="A21:Q56">
    <sortCondition ref="C21:C5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workbookViewId="0">
      <selection activeCell="A21" sqref="A21"/>
    </sheetView>
  </sheetViews>
  <sheetFormatPr defaultRowHeight="12.75" x14ac:dyDescent="0.2"/>
  <cols>
    <col min="1" max="1" width="19.7109375" style="26" customWidth="1"/>
    <col min="2" max="2" width="4.42578125" customWidth="1"/>
    <col min="3" max="3" width="12.7109375" style="26" customWidth="1"/>
    <col min="4" max="4" width="5.42578125" customWidth="1"/>
    <col min="5" max="5" width="14.85546875" customWidth="1"/>
    <col min="7" max="7" width="12" customWidth="1"/>
    <col min="8" max="8" width="14.140625" style="26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64</v>
      </c>
      <c r="I1" s="52" t="s">
        <v>65</v>
      </c>
      <c r="J1" s="53" t="s">
        <v>35</v>
      </c>
    </row>
    <row r="2" spans="1:16" x14ac:dyDescent="0.2">
      <c r="I2" s="54" t="s">
        <v>66</v>
      </c>
      <c r="J2" s="55" t="s">
        <v>34</v>
      </c>
    </row>
    <row r="3" spans="1:16" x14ac:dyDescent="0.2">
      <c r="A3" s="56" t="s">
        <v>67</v>
      </c>
      <c r="I3" s="54" t="s">
        <v>68</v>
      </c>
      <c r="J3" s="55" t="s">
        <v>32</v>
      </c>
    </row>
    <row r="4" spans="1:16" x14ac:dyDescent="0.2">
      <c r="I4" s="54" t="s">
        <v>69</v>
      </c>
      <c r="J4" s="55" t="s">
        <v>32</v>
      </c>
    </row>
    <row r="5" spans="1:16" x14ac:dyDescent="0.2">
      <c r="I5" s="57" t="s">
        <v>70</v>
      </c>
      <c r="J5" s="58" t="s">
        <v>33</v>
      </c>
    </row>
    <row r="11" spans="1:16" ht="12.75" customHeight="1" x14ac:dyDescent="0.2">
      <c r="A11" s="26" t="str">
        <f t="shared" ref="A11:A35" si="0">P11</f>
        <v>BAVM 118 </v>
      </c>
      <c r="B11" s="15" t="str">
        <f t="shared" ref="B11:B35" si="1">IF(H11=INT(H11),"I","II")</f>
        <v>I</v>
      </c>
      <c r="C11" s="26">
        <f t="shared" ref="C11:C35" si="2">1*G11</f>
        <v>50671.421600000001</v>
      </c>
      <c r="D11" t="str">
        <f t="shared" ref="D11:D35" si="3">VLOOKUP(F11,I$1:J$5,2,FALSE)</f>
        <v>vis</v>
      </c>
      <c r="E11">
        <f>VLOOKUP(C11,Active!C$21:E$969,3,FALSE)</f>
        <v>23144.047404432582</v>
      </c>
      <c r="F11" s="15" t="s">
        <v>70</v>
      </c>
      <c r="G11" t="str">
        <f t="shared" ref="G11:G35" si="4">MID(I11,3,LEN(I11)-3)</f>
        <v>50671.4216</v>
      </c>
      <c r="H11" s="26">
        <f t="shared" ref="H11:H35" si="5">1*K11</f>
        <v>23144</v>
      </c>
      <c r="I11" s="59" t="s">
        <v>71</v>
      </c>
      <c r="J11" s="60" t="s">
        <v>72</v>
      </c>
      <c r="K11" s="59">
        <v>23144</v>
      </c>
      <c r="L11" s="59" t="s">
        <v>73</v>
      </c>
      <c r="M11" s="60" t="s">
        <v>74</v>
      </c>
      <c r="N11" s="60" t="s">
        <v>75</v>
      </c>
      <c r="O11" s="61" t="s">
        <v>76</v>
      </c>
      <c r="P11" s="62" t="s">
        <v>77</v>
      </c>
    </row>
    <row r="12" spans="1:16" ht="12.75" customHeight="1" x14ac:dyDescent="0.2">
      <c r="A12" s="26" t="str">
        <f t="shared" si="0"/>
        <v>IBVS 5583 </v>
      </c>
      <c r="B12" s="15" t="str">
        <f t="shared" si="1"/>
        <v>I</v>
      </c>
      <c r="C12" s="26">
        <f t="shared" si="2"/>
        <v>52147.545599999998</v>
      </c>
      <c r="D12" t="str">
        <f t="shared" si="3"/>
        <v>vis</v>
      </c>
      <c r="E12">
        <f>VLOOKUP(C12,Active!C$21:E$969,3,FALSE)</f>
        <v>25191.052454951638</v>
      </c>
      <c r="F12" s="15" t="s">
        <v>70</v>
      </c>
      <c r="G12" t="str">
        <f t="shared" si="4"/>
        <v>52147.5456</v>
      </c>
      <c r="H12" s="26">
        <f t="shared" si="5"/>
        <v>25191</v>
      </c>
      <c r="I12" s="59" t="s">
        <v>78</v>
      </c>
      <c r="J12" s="60" t="s">
        <v>79</v>
      </c>
      <c r="K12" s="59">
        <v>25191</v>
      </c>
      <c r="L12" s="59" t="s">
        <v>80</v>
      </c>
      <c r="M12" s="60" t="s">
        <v>74</v>
      </c>
      <c r="N12" s="60" t="s">
        <v>81</v>
      </c>
      <c r="O12" s="61" t="s">
        <v>82</v>
      </c>
      <c r="P12" s="62" t="s">
        <v>83</v>
      </c>
    </row>
    <row r="13" spans="1:16" ht="12.75" customHeight="1" x14ac:dyDescent="0.2">
      <c r="A13" s="26" t="str">
        <f t="shared" si="0"/>
        <v>BAVM 158 </v>
      </c>
      <c r="B13" s="15" t="str">
        <f t="shared" si="1"/>
        <v>I</v>
      </c>
      <c r="C13" s="26">
        <f t="shared" si="2"/>
        <v>52150.426800000001</v>
      </c>
      <c r="D13" t="str">
        <f t="shared" si="3"/>
        <v>vis</v>
      </c>
      <c r="E13">
        <f>VLOOKUP(C13,Active!C$21:E$969,3,FALSE)</f>
        <v>25195.047939715492</v>
      </c>
      <c r="F13" s="15" t="s">
        <v>70</v>
      </c>
      <c r="G13" t="str">
        <f t="shared" si="4"/>
        <v>52150.4268</v>
      </c>
      <c r="H13" s="26">
        <f t="shared" si="5"/>
        <v>25195</v>
      </c>
      <c r="I13" s="59" t="s">
        <v>84</v>
      </c>
      <c r="J13" s="60" t="s">
        <v>85</v>
      </c>
      <c r="K13" s="59">
        <v>25195</v>
      </c>
      <c r="L13" s="59" t="s">
        <v>86</v>
      </c>
      <c r="M13" s="60" t="s">
        <v>74</v>
      </c>
      <c r="N13" s="60" t="s">
        <v>75</v>
      </c>
      <c r="O13" s="61" t="s">
        <v>87</v>
      </c>
      <c r="P13" s="62" t="s">
        <v>88</v>
      </c>
    </row>
    <row r="14" spans="1:16" ht="12.75" customHeight="1" x14ac:dyDescent="0.2">
      <c r="A14" s="26" t="str">
        <f t="shared" si="0"/>
        <v> BBS 129 </v>
      </c>
      <c r="B14" s="15" t="str">
        <f t="shared" si="1"/>
        <v>I</v>
      </c>
      <c r="C14" s="26">
        <f t="shared" si="2"/>
        <v>52535.502</v>
      </c>
      <c r="D14" t="str">
        <f t="shared" si="3"/>
        <v>vis</v>
      </c>
      <c r="E14">
        <f>VLOOKUP(C14,Active!C$21:E$969,3,FALSE)</f>
        <v>25729.048389020318</v>
      </c>
      <c r="F14" s="15" t="s">
        <v>70</v>
      </c>
      <c r="G14" t="str">
        <f t="shared" si="4"/>
        <v>52535.502</v>
      </c>
      <c r="H14" s="26">
        <f t="shared" si="5"/>
        <v>25729</v>
      </c>
      <c r="I14" s="59" t="s">
        <v>89</v>
      </c>
      <c r="J14" s="60" t="s">
        <v>90</v>
      </c>
      <c r="K14" s="59">
        <v>25729</v>
      </c>
      <c r="L14" s="59" t="s">
        <v>91</v>
      </c>
      <c r="M14" s="60" t="s">
        <v>74</v>
      </c>
      <c r="N14" s="60" t="s">
        <v>92</v>
      </c>
      <c r="O14" s="61" t="s">
        <v>93</v>
      </c>
      <c r="P14" s="61" t="s">
        <v>94</v>
      </c>
    </row>
    <row r="15" spans="1:16" ht="12.75" customHeight="1" x14ac:dyDescent="0.2">
      <c r="A15" s="26" t="str">
        <f t="shared" si="0"/>
        <v>IBVS 5378 </v>
      </c>
      <c r="B15" s="15" t="str">
        <f t="shared" si="1"/>
        <v>I</v>
      </c>
      <c r="C15" s="26">
        <f t="shared" si="2"/>
        <v>52581.652800000003</v>
      </c>
      <c r="D15" t="str">
        <f t="shared" si="3"/>
        <v>vis</v>
      </c>
      <c r="E15">
        <f>VLOOKUP(C15,Active!C$21:E$969,3,FALSE)</f>
        <v>25793.04770119565</v>
      </c>
      <c r="F15" s="15" t="s">
        <v>70</v>
      </c>
      <c r="G15" t="str">
        <f t="shared" si="4"/>
        <v>52581.6528</v>
      </c>
      <c r="H15" s="26">
        <f t="shared" si="5"/>
        <v>25793</v>
      </c>
      <c r="I15" s="59" t="s">
        <v>95</v>
      </c>
      <c r="J15" s="60" t="s">
        <v>96</v>
      </c>
      <c r="K15" s="59">
        <v>25793</v>
      </c>
      <c r="L15" s="59" t="s">
        <v>97</v>
      </c>
      <c r="M15" s="60" t="s">
        <v>74</v>
      </c>
      <c r="N15" s="60" t="s">
        <v>92</v>
      </c>
      <c r="O15" s="61" t="s">
        <v>98</v>
      </c>
      <c r="P15" s="62" t="s">
        <v>99</v>
      </c>
    </row>
    <row r="16" spans="1:16" ht="12.75" customHeight="1" x14ac:dyDescent="0.2">
      <c r="A16" s="26" t="str">
        <f t="shared" si="0"/>
        <v>BAVM 172 </v>
      </c>
      <c r="B16" s="15" t="str">
        <f t="shared" si="1"/>
        <v>I</v>
      </c>
      <c r="C16" s="26">
        <f t="shared" si="2"/>
        <v>52913.364600000001</v>
      </c>
      <c r="D16" t="str">
        <f t="shared" si="3"/>
        <v>vis</v>
      </c>
      <c r="E16">
        <f>VLOOKUP(C16,Active!C$21:E$969,3,FALSE)</f>
        <v>26253.046813679943</v>
      </c>
      <c r="F16" s="15" t="s">
        <v>70</v>
      </c>
      <c r="G16" t="str">
        <f t="shared" si="4"/>
        <v>52913.3646</v>
      </c>
      <c r="H16" s="26">
        <f t="shared" si="5"/>
        <v>26253</v>
      </c>
      <c r="I16" s="59" t="s">
        <v>100</v>
      </c>
      <c r="J16" s="60" t="s">
        <v>101</v>
      </c>
      <c r="K16" s="59">
        <v>26253</v>
      </c>
      <c r="L16" s="59" t="s">
        <v>102</v>
      </c>
      <c r="M16" s="60" t="s">
        <v>74</v>
      </c>
      <c r="N16" s="60" t="s">
        <v>75</v>
      </c>
      <c r="O16" s="61" t="s">
        <v>87</v>
      </c>
      <c r="P16" s="62" t="s">
        <v>103</v>
      </c>
    </row>
    <row r="17" spans="1:16" ht="12.75" customHeight="1" x14ac:dyDescent="0.2">
      <c r="A17" s="26" t="str">
        <f t="shared" si="0"/>
        <v>IBVS 5960 </v>
      </c>
      <c r="B17" s="15" t="str">
        <f t="shared" si="1"/>
        <v>I</v>
      </c>
      <c r="C17" s="26">
        <f t="shared" si="2"/>
        <v>55500.727899999998</v>
      </c>
      <c r="D17" t="str">
        <f t="shared" si="3"/>
        <v>vis</v>
      </c>
      <c r="E17">
        <f>VLOOKUP(C17,Active!C$21:E$969,3,FALSE)</f>
        <v>29841.055505786873</v>
      </c>
      <c r="F17" s="15" t="s">
        <v>70</v>
      </c>
      <c r="G17" t="str">
        <f t="shared" si="4"/>
        <v>55500.7279</v>
      </c>
      <c r="H17" s="26">
        <f t="shared" si="5"/>
        <v>29841</v>
      </c>
      <c r="I17" s="59" t="s">
        <v>104</v>
      </c>
      <c r="J17" s="60" t="s">
        <v>105</v>
      </c>
      <c r="K17" s="59">
        <v>29841</v>
      </c>
      <c r="L17" s="59" t="s">
        <v>106</v>
      </c>
      <c r="M17" s="60" t="s">
        <v>107</v>
      </c>
      <c r="N17" s="60" t="s">
        <v>70</v>
      </c>
      <c r="O17" s="61" t="s">
        <v>93</v>
      </c>
      <c r="P17" s="62" t="s">
        <v>108</v>
      </c>
    </row>
    <row r="18" spans="1:16" ht="12.75" customHeight="1" x14ac:dyDescent="0.2">
      <c r="A18" s="26" t="str">
        <f t="shared" si="0"/>
        <v>IBVS 6011 </v>
      </c>
      <c r="B18" s="15" t="str">
        <f t="shared" si="1"/>
        <v>I</v>
      </c>
      <c r="C18" s="26">
        <f t="shared" si="2"/>
        <v>55875.705099999999</v>
      </c>
      <c r="D18" t="str">
        <f t="shared" si="3"/>
        <v>vis</v>
      </c>
      <c r="E18">
        <f>VLOOKUP(C18,Active!C$21:E$969,3,FALSE)</f>
        <v>30361.052621360832</v>
      </c>
      <c r="F18" s="15" t="s">
        <v>70</v>
      </c>
      <c r="G18" t="str">
        <f t="shared" si="4"/>
        <v>55875.7051</v>
      </c>
      <c r="H18" s="26">
        <f t="shared" si="5"/>
        <v>30361</v>
      </c>
      <c r="I18" s="59" t="s">
        <v>109</v>
      </c>
      <c r="J18" s="60" t="s">
        <v>110</v>
      </c>
      <c r="K18" s="59">
        <v>30361</v>
      </c>
      <c r="L18" s="59" t="s">
        <v>111</v>
      </c>
      <c r="M18" s="60" t="s">
        <v>107</v>
      </c>
      <c r="N18" s="60" t="s">
        <v>70</v>
      </c>
      <c r="O18" s="61" t="s">
        <v>93</v>
      </c>
      <c r="P18" s="62" t="s">
        <v>112</v>
      </c>
    </row>
    <row r="19" spans="1:16" ht="12.75" customHeight="1" x14ac:dyDescent="0.2">
      <c r="A19" s="26" t="str">
        <f t="shared" si="0"/>
        <v>BAVM 234 </v>
      </c>
      <c r="B19" s="15" t="str">
        <f t="shared" si="1"/>
        <v>I</v>
      </c>
      <c r="C19" s="26">
        <f t="shared" si="2"/>
        <v>56132.421399999999</v>
      </c>
      <c r="D19" t="str">
        <f t="shared" si="3"/>
        <v>vis</v>
      </c>
      <c r="E19">
        <f>VLOOKUP(C19,Active!C$21:E$969,3,FALSE)</f>
        <v>30717.052227525739</v>
      </c>
      <c r="F19" s="15" t="s">
        <v>70</v>
      </c>
      <c r="G19" t="str">
        <f t="shared" si="4"/>
        <v>56132.4214</v>
      </c>
      <c r="H19" s="26">
        <f t="shared" si="5"/>
        <v>30717</v>
      </c>
      <c r="I19" s="59" t="s">
        <v>113</v>
      </c>
      <c r="J19" s="60" t="s">
        <v>114</v>
      </c>
      <c r="K19" s="59">
        <v>30717</v>
      </c>
      <c r="L19" s="59" t="s">
        <v>115</v>
      </c>
      <c r="M19" s="60" t="s">
        <v>107</v>
      </c>
      <c r="N19" s="60" t="s">
        <v>75</v>
      </c>
      <c r="O19" s="61" t="s">
        <v>116</v>
      </c>
      <c r="P19" s="62" t="s">
        <v>117</v>
      </c>
    </row>
    <row r="20" spans="1:16" ht="12.75" customHeight="1" x14ac:dyDescent="0.2">
      <c r="A20" s="26" t="str">
        <f t="shared" si="0"/>
        <v>IBVS 6042 </v>
      </c>
      <c r="B20" s="15" t="str">
        <f t="shared" si="1"/>
        <v>I</v>
      </c>
      <c r="C20" s="26">
        <f t="shared" si="2"/>
        <v>56232.657099999997</v>
      </c>
      <c r="D20" t="str">
        <f t="shared" si="3"/>
        <v>vis</v>
      </c>
      <c r="E20">
        <f>VLOOKUP(C20,Active!C$21:E$969,3,FALSE)</f>
        <v>30856.053411804503</v>
      </c>
      <c r="F20" s="15" t="s">
        <v>70</v>
      </c>
      <c r="G20" t="str">
        <f t="shared" si="4"/>
        <v>56232.6571</v>
      </c>
      <c r="H20" s="26">
        <f t="shared" si="5"/>
        <v>30856</v>
      </c>
      <c r="I20" s="59" t="s">
        <v>118</v>
      </c>
      <c r="J20" s="60" t="s">
        <v>119</v>
      </c>
      <c r="K20" s="59">
        <v>30856</v>
      </c>
      <c r="L20" s="59" t="s">
        <v>120</v>
      </c>
      <c r="M20" s="60" t="s">
        <v>107</v>
      </c>
      <c r="N20" s="60" t="s">
        <v>70</v>
      </c>
      <c r="O20" s="61" t="s">
        <v>93</v>
      </c>
      <c r="P20" s="62" t="s">
        <v>121</v>
      </c>
    </row>
    <row r="21" spans="1:16" ht="12.75" customHeight="1" x14ac:dyDescent="0.2">
      <c r="A21" s="26" t="str">
        <f t="shared" si="0"/>
        <v> BTOK 87.896 </v>
      </c>
      <c r="B21" s="15" t="str">
        <f t="shared" si="1"/>
        <v>I</v>
      </c>
      <c r="C21" s="26">
        <f t="shared" si="2"/>
        <v>33981.919000000002</v>
      </c>
      <c r="D21" t="str">
        <f t="shared" si="3"/>
        <v>vis</v>
      </c>
      <c r="E21">
        <f>VLOOKUP(C21,Active!C$21:E$969,3,FALSE)</f>
        <v>-8.3204597348302215E-3</v>
      </c>
      <c r="F21" s="15" t="s">
        <v>70</v>
      </c>
      <c r="G21" t="str">
        <f t="shared" si="4"/>
        <v>33981.919</v>
      </c>
      <c r="H21" s="26">
        <f t="shared" si="5"/>
        <v>0</v>
      </c>
      <c r="I21" s="59" t="s">
        <v>122</v>
      </c>
      <c r="J21" s="60" t="s">
        <v>123</v>
      </c>
      <c r="K21" s="59">
        <v>0</v>
      </c>
      <c r="L21" s="59" t="s">
        <v>124</v>
      </c>
      <c r="M21" s="60" t="s">
        <v>125</v>
      </c>
      <c r="N21" s="60"/>
      <c r="O21" s="61" t="s">
        <v>126</v>
      </c>
      <c r="P21" s="61" t="s">
        <v>42</v>
      </c>
    </row>
    <row r="22" spans="1:16" ht="12.75" customHeight="1" x14ac:dyDescent="0.2">
      <c r="A22" s="26" t="str">
        <f t="shared" si="0"/>
        <v> BTOK 87.896 </v>
      </c>
      <c r="B22" s="15" t="str">
        <f t="shared" si="1"/>
        <v>I</v>
      </c>
      <c r="C22" s="26">
        <f t="shared" si="2"/>
        <v>34302.106</v>
      </c>
      <c r="D22" t="str">
        <f t="shared" si="3"/>
        <v>vis</v>
      </c>
      <c r="E22">
        <f>VLOOKUP(C22,Active!C$21:E$969,3,FALSE)</f>
        <v>444.00885296915169</v>
      </c>
      <c r="F22" s="15" t="s">
        <v>70</v>
      </c>
      <c r="G22" t="str">
        <f t="shared" si="4"/>
        <v>34302.106</v>
      </c>
      <c r="H22" s="26">
        <f t="shared" si="5"/>
        <v>444</v>
      </c>
      <c r="I22" s="59" t="s">
        <v>127</v>
      </c>
      <c r="J22" s="60" t="s">
        <v>128</v>
      </c>
      <c r="K22" s="59">
        <v>444</v>
      </c>
      <c r="L22" s="59" t="s">
        <v>129</v>
      </c>
      <c r="M22" s="60" t="s">
        <v>125</v>
      </c>
      <c r="N22" s="60"/>
      <c r="O22" s="61" t="s">
        <v>126</v>
      </c>
      <c r="P22" s="61" t="s">
        <v>42</v>
      </c>
    </row>
    <row r="23" spans="1:16" ht="12.75" customHeight="1" x14ac:dyDescent="0.2">
      <c r="A23" s="26" t="str">
        <f t="shared" si="0"/>
        <v> BTOK 87.896 </v>
      </c>
      <c r="B23" s="15" t="str">
        <f t="shared" si="1"/>
        <v>I</v>
      </c>
      <c r="C23" s="26">
        <f t="shared" si="2"/>
        <v>34628.044000000002</v>
      </c>
      <c r="D23" t="str">
        <f t="shared" si="3"/>
        <v>vis</v>
      </c>
      <c r="E23">
        <f>VLOOKUP(C23,Active!C$21:E$969,3,FALSE)</f>
        <v>896.0011870522535</v>
      </c>
      <c r="F23" s="15" t="s">
        <v>70</v>
      </c>
      <c r="G23" t="str">
        <f t="shared" si="4"/>
        <v>34628.044</v>
      </c>
      <c r="H23" s="26">
        <f t="shared" si="5"/>
        <v>896</v>
      </c>
      <c r="I23" s="59" t="s">
        <v>130</v>
      </c>
      <c r="J23" s="60" t="s">
        <v>131</v>
      </c>
      <c r="K23" s="59">
        <v>896</v>
      </c>
      <c r="L23" s="59" t="s">
        <v>132</v>
      </c>
      <c r="M23" s="60" t="s">
        <v>125</v>
      </c>
      <c r="N23" s="60"/>
      <c r="O23" s="61" t="s">
        <v>126</v>
      </c>
      <c r="P23" s="61" t="s">
        <v>42</v>
      </c>
    </row>
    <row r="24" spans="1:16" ht="12.75" customHeight="1" x14ac:dyDescent="0.2">
      <c r="A24" s="26" t="str">
        <f t="shared" si="0"/>
        <v> BTOK 87.896 </v>
      </c>
      <c r="B24" s="15" t="str">
        <f t="shared" si="1"/>
        <v>I</v>
      </c>
      <c r="C24" s="26">
        <f t="shared" si="2"/>
        <v>35044.125</v>
      </c>
      <c r="D24" t="str">
        <f t="shared" si="3"/>
        <v>vis</v>
      </c>
      <c r="E24">
        <f>VLOOKUP(C24,Active!C$21:E$969,3,FALSE)</f>
        <v>1472.9987214226835</v>
      </c>
      <c r="F24" s="15" t="s">
        <v>70</v>
      </c>
      <c r="G24" t="str">
        <f t="shared" si="4"/>
        <v>35044.125</v>
      </c>
      <c r="H24" s="26">
        <f t="shared" si="5"/>
        <v>1473</v>
      </c>
      <c r="I24" s="59" t="s">
        <v>133</v>
      </c>
      <c r="J24" s="60" t="s">
        <v>134</v>
      </c>
      <c r="K24" s="59">
        <v>1473</v>
      </c>
      <c r="L24" s="59" t="s">
        <v>135</v>
      </c>
      <c r="M24" s="60" t="s">
        <v>125</v>
      </c>
      <c r="N24" s="60"/>
      <c r="O24" s="61" t="s">
        <v>126</v>
      </c>
      <c r="P24" s="61" t="s">
        <v>42</v>
      </c>
    </row>
    <row r="25" spans="1:16" ht="12.75" customHeight="1" x14ac:dyDescent="0.2">
      <c r="A25" s="26" t="str">
        <f t="shared" si="0"/>
        <v> BTOK 87.896 </v>
      </c>
      <c r="B25" s="15" t="str">
        <f t="shared" si="1"/>
        <v>I</v>
      </c>
      <c r="C25" s="26">
        <f t="shared" si="2"/>
        <v>35401.078000000001</v>
      </c>
      <c r="D25" t="str">
        <f t="shared" si="3"/>
        <v>vis</v>
      </c>
      <c r="E25">
        <f>VLOOKUP(C25,Active!C$21:E$969,3,FALSE)</f>
        <v>1968.0008986096489</v>
      </c>
      <c r="F25" s="15" t="s">
        <v>70</v>
      </c>
      <c r="G25" t="str">
        <f t="shared" si="4"/>
        <v>35401.078</v>
      </c>
      <c r="H25" s="26">
        <f t="shared" si="5"/>
        <v>1968</v>
      </c>
      <c r="I25" s="59" t="s">
        <v>136</v>
      </c>
      <c r="J25" s="60" t="s">
        <v>137</v>
      </c>
      <c r="K25" s="59">
        <v>1968</v>
      </c>
      <c r="L25" s="59" t="s">
        <v>132</v>
      </c>
      <c r="M25" s="60" t="s">
        <v>125</v>
      </c>
      <c r="N25" s="60"/>
      <c r="O25" s="61" t="s">
        <v>126</v>
      </c>
      <c r="P25" s="61" t="s">
        <v>42</v>
      </c>
    </row>
    <row r="26" spans="1:16" ht="12.75" customHeight="1" x14ac:dyDescent="0.2">
      <c r="A26" s="26" t="str">
        <f t="shared" si="0"/>
        <v>BAVM 79 </v>
      </c>
      <c r="B26" s="15" t="str">
        <f t="shared" si="1"/>
        <v>I</v>
      </c>
      <c r="C26" s="26">
        <f t="shared" si="2"/>
        <v>48465.538</v>
      </c>
      <c r="D26" t="str">
        <f t="shared" si="3"/>
        <v>vis</v>
      </c>
      <c r="E26">
        <f>VLOOKUP(C26,Active!C$21:E$969,3,FALSE)</f>
        <v>20085.053126135394</v>
      </c>
      <c r="F26" s="15" t="s">
        <v>70</v>
      </c>
      <c r="G26" t="str">
        <f t="shared" si="4"/>
        <v>48465.538</v>
      </c>
      <c r="H26" s="26">
        <f t="shared" si="5"/>
        <v>20085</v>
      </c>
      <c r="I26" s="59" t="s">
        <v>138</v>
      </c>
      <c r="J26" s="60" t="s">
        <v>139</v>
      </c>
      <c r="K26" s="59">
        <v>20085</v>
      </c>
      <c r="L26" s="59" t="s">
        <v>140</v>
      </c>
      <c r="M26" s="60" t="s">
        <v>125</v>
      </c>
      <c r="N26" s="60"/>
      <c r="O26" s="61" t="s">
        <v>141</v>
      </c>
      <c r="P26" s="62" t="s">
        <v>45</v>
      </c>
    </row>
    <row r="27" spans="1:16" ht="12.75" customHeight="1" x14ac:dyDescent="0.2">
      <c r="A27" s="26" t="str">
        <f t="shared" si="0"/>
        <v>BAVM 60 </v>
      </c>
      <c r="B27" s="15" t="str">
        <f t="shared" si="1"/>
        <v>I</v>
      </c>
      <c r="C27" s="26">
        <f t="shared" si="2"/>
        <v>48499.421000000002</v>
      </c>
      <c r="D27" t="str">
        <f t="shared" si="3"/>
        <v>vis</v>
      </c>
      <c r="E27">
        <f>VLOOKUP(C27,Active!C$21:E$969,3,FALSE)</f>
        <v>20132.040148991699</v>
      </c>
      <c r="F27" s="15" t="s">
        <v>70</v>
      </c>
      <c r="G27" t="str">
        <f t="shared" si="4"/>
        <v>48499.421</v>
      </c>
      <c r="H27" s="26">
        <f t="shared" si="5"/>
        <v>20132</v>
      </c>
      <c r="I27" s="59" t="s">
        <v>142</v>
      </c>
      <c r="J27" s="60" t="s">
        <v>143</v>
      </c>
      <c r="K27" s="59">
        <v>20132</v>
      </c>
      <c r="L27" s="59" t="s">
        <v>144</v>
      </c>
      <c r="M27" s="60" t="s">
        <v>125</v>
      </c>
      <c r="N27" s="60"/>
      <c r="O27" s="61" t="s">
        <v>87</v>
      </c>
      <c r="P27" s="62" t="s">
        <v>46</v>
      </c>
    </row>
    <row r="28" spans="1:16" ht="12.75" customHeight="1" x14ac:dyDescent="0.2">
      <c r="A28" s="26" t="str">
        <f t="shared" si="0"/>
        <v>BAVM 60 </v>
      </c>
      <c r="B28" s="15" t="str">
        <f t="shared" si="1"/>
        <v>I</v>
      </c>
      <c r="C28" s="26">
        <f t="shared" si="2"/>
        <v>48501.588000000003</v>
      </c>
      <c r="D28" t="str">
        <f t="shared" si="3"/>
        <v>vis</v>
      </c>
      <c r="E28">
        <f>VLOOKUP(C28,Active!C$21:E$969,3,FALSE)</f>
        <v>20135.045221698649</v>
      </c>
      <c r="F28" s="15" t="s">
        <v>70</v>
      </c>
      <c r="G28" t="str">
        <f t="shared" si="4"/>
        <v>48501.588</v>
      </c>
      <c r="H28" s="26">
        <f t="shared" si="5"/>
        <v>20135</v>
      </c>
      <c r="I28" s="59" t="s">
        <v>145</v>
      </c>
      <c r="J28" s="60" t="s">
        <v>146</v>
      </c>
      <c r="K28" s="59">
        <v>20135</v>
      </c>
      <c r="L28" s="59" t="s">
        <v>147</v>
      </c>
      <c r="M28" s="60" t="s">
        <v>125</v>
      </c>
      <c r="N28" s="60"/>
      <c r="O28" s="61" t="s">
        <v>87</v>
      </c>
      <c r="P28" s="62" t="s">
        <v>46</v>
      </c>
    </row>
    <row r="29" spans="1:16" ht="12.75" customHeight="1" x14ac:dyDescent="0.2">
      <c r="A29" s="26" t="str">
        <f t="shared" si="0"/>
        <v>BAVM 60 </v>
      </c>
      <c r="B29" s="15" t="str">
        <f t="shared" si="1"/>
        <v>I</v>
      </c>
      <c r="C29" s="26">
        <f t="shared" si="2"/>
        <v>48514.565999999999</v>
      </c>
      <c r="D29" t="str">
        <f t="shared" si="3"/>
        <v>vis</v>
      </c>
      <c r="E29">
        <f>VLOOKUP(C29,Active!C$21:E$969,3,FALSE)</f>
        <v>20153.042376101414</v>
      </c>
      <c r="F29" s="15" t="s">
        <v>70</v>
      </c>
      <c r="G29" t="str">
        <f t="shared" si="4"/>
        <v>48514.566</v>
      </c>
      <c r="H29" s="26">
        <f t="shared" si="5"/>
        <v>20153</v>
      </c>
      <c r="I29" s="59" t="s">
        <v>148</v>
      </c>
      <c r="J29" s="60" t="s">
        <v>149</v>
      </c>
      <c r="K29" s="59">
        <v>20153</v>
      </c>
      <c r="L29" s="59" t="s">
        <v>150</v>
      </c>
      <c r="M29" s="60" t="s">
        <v>125</v>
      </c>
      <c r="N29" s="60"/>
      <c r="O29" s="61" t="s">
        <v>87</v>
      </c>
      <c r="P29" s="62" t="s">
        <v>46</v>
      </c>
    </row>
    <row r="30" spans="1:16" ht="12.75" customHeight="1" x14ac:dyDescent="0.2">
      <c r="A30" s="26" t="str">
        <f t="shared" si="0"/>
        <v>BAVM 93 </v>
      </c>
      <c r="B30" s="15" t="str">
        <f t="shared" si="1"/>
        <v>I</v>
      </c>
      <c r="C30" s="26">
        <f t="shared" si="2"/>
        <v>48840.508999999998</v>
      </c>
      <c r="D30" t="str">
        <f t="shared" si="3"/>
        <v>vis</v>
      </c>
      <c r="E30">
        <f>VLOOKUP(C30,Active!C$21:E$969,3,FALSE)</f>
        <v>20605.041643900957</v>
      </c>
      <c r="F30" s="15" t="s">
        <v>70</v>
      </c>
      <c r="G30" t="str">
        <f t="shared" si="4"/>
        <v>48840.509</v>
      </c>
      <c r="H30" s="26">
        <f t="shared" si="5"/>
        <v>20605</v>
      </c>
      <c r="I30" s="59" t="s">
        <v>151</v>
      </c>
      <c r="J30" s="60" t="s">
        <v>152</v>
      </c>
      <c r="K30" s="59">
        <v>20605</v>
      </c>
      <c r="L30" s="59" t="s">
        <v>153</v>
      </c>
      <c r="M30" s="60" t="s">
        <v>125</v>
      </c>
      <c r="N30" s="60"/>
      <c r="O30" s="61" t="s">
        <v>154</v>
      </c>
      <c r="P30" s="62" t="s">
        <v>47</v>
      </c>
    </row>
    <row r="31" spans="1:16" ht="12.75" customHeight="1" x14ac:dyDescent="0.2">
      <c r="A31" s="26" t="str">
        <f t="shared" si="0"/>
        <v>BAVM 62 </v>
      </c>
      <c r="B31" s="15" t="str">
        <f t="shared" si="1"/>
        <v>I</v>
      </c>
      <c r="C31" s="26">
        <f t="shared" si="2"/>
        <v>48988.343999999997</v>
      </c>
      <c r="D31" t="str">
        <f t="shared" si="3"/>
        <v>vis</v>
      </c>
      <c r="E31">
        <f>VLOOKUP(C31,Active!C$21:E$969,3,FALSE)</f>
        <v>20810.05083800896</v>
      </c>
      <c r="F31" s="15" t="s">
        <v>70</v>
      </c>
      <c r="G31" t="str">
        <f t="shared" si="4"/>
        <v>48988.344</v>
      </c>
      <c r="H31" s="26">
        <f t="shared" si="5"/>
        <v>20810</v>
      </c>
      <c r="I31" s="59" t="s">
        <v>155</v>
      </c>
      <c r="J31" s="60" t="s">
        <v>156</v>
      </c>
      <c r="K31" s="59">
        <v>20810</v>
      </c>
      <c r="L31" s="59" t="s">
        <v>157</v>
      </c>
      <c r="M31" s="60" t="s">
        <v>125</v>
      </c>
      <c r="N31" s="60"/>
      <c r="O31" s="61" t="s">
        <v>76</v>
      </c>
      <c r="P31" s="62" t="s">
        <v>48</v>
      </c>
    </row>
    <row r="32" spans="1:16" ht="12.75" customHeight="1" x14ac:dyDescent="0.2">
      <c r="A32" s="26" t="str">
        <f t="shared" si="0"/>
        <v>BAVM 68 </v>
      </c>
      <c r="B32" s="15" t="str">
        <f t="shared" si="1"/>
        <v>I</v>
      </c>
      <c r="C32" s="26">
        <f t="shared" si="2"/>
        <v>49202.519399999997</v>
      </c>
      <c r="D32" t="str">
        <f t="shared" si="3"/>
        <v>vis</v>
      </c>
      <c r="E32">
        <f>VLOOKUP(C32,Active!C$21:E$969,3,FALSE)</f>
        <v>21107.057136596977</v>
      </c>
      <c r="F32" s="15" t="s">
        <v>70</v>
      </c>
      <c r="G32" t="str">
        <f t="shared" si="4"/>
        <v>49202.5194</v>
      </c>
      <c r="H32" s="26">
        <f t="shared" si="5"/>
        <v>21107</v>
      </c>
      <c r="I32" s="59" t="s">
        <v>158</v>
      </c>
      <c r="J32" s="60" t="s">
        <v>159</v>
      </c>
      <c r="K32" s="59">
        <v>21107</v>
      </c>
      <c r="L32" s="59" t="s">
        <v>160</v>
      </c>
      <c r="M32" s="60" t="s">
        <v>74</v>
      </c>
      <c r="N32" s="60" t="s">
        <v>75</v>
      </c>
      <c r="O32" s="61" t="s">
        <v>76</v>
      </c>
      <c r="P32" s="62" t="s">
        <v>49</v>
      </c>
    </row>
    <row r="33" spans="1:16" ht="12.75" customHeight="1" x14ac:dyDescent="0.2">
      <c r="A33" s="26" t="str">
        <f t="shared" si="0"/>
        <v>BAVM 68 </v>
      </c>
      <c r="B33" s="15" t="str">
        <f t="shared" si="1"/>
        <v>I</v>
      </c>
      <c r="C33" s="26">
        <f t="shared" si="2"/>
        <v>49249.386299999998</v>
      </c>
      <c r="D33" t="str">
        <f t="shared" si="3"/>
        <v>vis</v>
      </c>
      <c r="E33">
        <f>VLOOKUP(C33,Active!C$21:E$969,3,FALSE)</f>
        <v>21172.049495641459</v>
      </c>
      <c r="F33" s="15" t="s">
        <v>70</v>
      </c>
      <c r="G33" t="str">
        <f t="shared" si="4"/>
        <v>49249.3863</v>
      </c>
      <c r="H33" s="26">
        <f t="shared" si="5"/>
        <v>21172</v>
      </c>
      <c r="I33" s="59" t="s">
        <v>161</v>
      </c>
      <c r="J33" s="60" t="s">
        <v>162</v>
      </c>
      <c r="K33" s="59">
        <v>21172</v>
      </c>
      <c r="L33" s="59" t="s">
        <v>163</v>
      </c>
      <c r="M33" s="60" t="s">
        <v>74</v>
      </c>
      <c r="N33" s="60" t="s">
        <v>75</v>
      </c>
      <c r="O33" s="61" t="s">
        <v>76</v>
      </c>
      <c r="P33" s="62" t="s">
        <v>49</v>
      </c>
    </row>
    <row r="34" spans="1:16" ht="12.75" customHeight="1" x14ac:dyDescent="0.2">
      <c r="A34" s="26" t="str">
        <f t="shared" si="0"/>
        <v> BBS 123 </v>
      </c>
      <c r="B34" s="15" t="str">
        <f t="shared" si="1"/>
        <v>I</v>
      </c>
      <c r="C34" s="26">
        <f t="shared" si="2"/>
        <v>51796.354500000001</v>
      </c>
      <c r="D34" t="str">
        <f t="shared" si="3"/>
        <v>vis</v>
      </c>
      <c r="E34">
        <f>VLOOKUP(C34,Active!C$21:E$969,3,FALSE)</f>
        <v>24704.040553920735</v>
      </c>
      <c r="F34" s="15" t="s">
        <v>70</v>
      </c>
      <c r="G34" t="str">
        <f t="shared" si="4"/>
        <v>51796.3545</v>
      </c>
      <c r="H34" s="26">
        <f t="shared" si="5"/>
        <v>24704</v>
      </c>
      <c r="I34" s="59" t="s">
        <v>164</v>
      </c>
      <c r="J34" s="60" t="s">
        <v>165</v>
      </c>
      <c r="K34" s="59">
        <v>24704</v>
      </c>
      <c r="L34" s="59" t="s">
        <v>166</v>
      </c>
      <c r="M34" s="60" t="s">
        <v>74</v>
      </c>
      <c r="N34" s="60" t="s">
        <v>92</v>
      </c>
      <c r="O34" s="61" t="s">
        <v>93</v>
      </c>
      <c r="P34" s="61" t="s">
        <v>51</v>
      </c>
    </row>
    <row r="35" spans="1:16" ht="12.75" customHeight="1" x14ac:dyDescent="0.2">
      <c r="A35" s="26" t="str">
        <f t="shared" si="0"/>
        <v>VSB 46 </v>
      </c>
      <c r="B35" s="15" t="str">
        <f t="shared" si="1"/>
        <v>I</v>
      </c>
      <c r="C35" s="26">
        <f t="shared" si="2"/>
        <v>54421.938999999998</v>
      </c>
      <c r="D35" t="str">
        <f t="shared" si="3"/>
        <v>vis</v>
      </c>
      <c r="E35">
        <f>VLOOKUP(C35,Active!C$21:E$969,3,FALSE)</f>
        <v>28345.052238619683</v>
      </c>
      <c r="F35" s="15" t="s">
        <v>70</v>
      </c>
      <c r="G35" t="str">
        <f t="shared" si="4"/>
        <v>54421.9390</v>
      </c>
      <c r="H35" s="26">
        <f t="shared" si="5"/>
        <v>28345</v>
      </c>
      <c r="I35" s="59" t="s">
        <v>167</v>
      </c>
      <c r="J35" s="60" t="s">
        <v>168</v>
      </c>
      <c r="K35" s="59">
        <v>28345</v>
      </c>
      <c r="L35" s="59" t="s">
        <v>115</v>
      </c>
      <c r="M35" s="60" t="s">
        <v>107</v>
      </c>
      <c r="N35" s="60" t="s">
        <v>169</v>
      </c>
      <c r="O35" s="61" t="s">
        <v>170</v>
      </c>
      <c r="P35" s="62" t="s">
        <v>57</v>
      </c>
    </row>
  </sheetData>
  <sheetProtection selectLockedCells="1" selectUnlockedCells="1"/>
  <hyperlinks>
    <hyperlink ref="P11" r:id="rId1"/>
    <hyperlink ref="P12" r:id="rId2"/>
    <hyperlink ref="P13" r:id="rId3"/>
    <hyperlink ref="P15" r:id="rId4"/>
    <hyperlink ref="P16" r:id="rId5"/>
    <hyperlink ref="P17" r:id="rId6"/>
    <hyperlink ref="P18" r:id="rId7"/>
    <hyperlink ref="P19" r:id="rId8"/>
    <hyperlink ref="P20" r:id="rId9"/>
    <hyperlink ref="P26" r:id="rId10"/>
    <hyperlink ref="P27" r:id="rId11"/>
    <hyperlink ref="P28" r:id="rId12"/>
    <hyperlink ref="P29" r:id="rId13"/>
    <hyperlink ref="P30" r:id="rId14"/>
    <hyperlink ref="P31" r:id="rId15"/>
    <hyperlink ref="P32" r:id="rId16"/>
    <hyperlink ref="P33" r:id="rId17"/>
    <hyperlink ref="P35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2022-03-30T05:44:39Z</dcterms:created>
  <dcterms:modified xsi:type="dcterms:W3CDTF">2023-01-21T05:10:19Z</dcterms:modified>
</cp:coreProperties>
</file>