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2455102-B702-4EB5-B1F2-1B897C09D05F}" xr6:coauthVersionLast="47" xr6:coauthVersionMax="47" xr10:uidLastSave="{00000000-0000-0000-0000-000000000000}"/>
  <bookViews>
    <workbookView xWindow="13050" yWindow="210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G14" i="2"/>
  <c r="C14" i="2"/>
  <c r="G13" i="2"/>
  <c r="C13" i="2"/>
  <c r="E13" i="2"/>
  <c r="G12" i="2"/>
  <c r="C12" i="2"/>
  <c r="E12" i="2"/>
  <c r="G11" i="2"/>
  <c r="C11" i="2"/>
  <c r="E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F11" i="1"/>
  <c r="Q26" i="1"/>
  <c r="G11" i="1"/>
  <c r="E14" i="1"/>
  <c r="C17" i="1"/>
  <c r="E25" i="1"/>
  <c r="F25" i="1"/>
  <c r="G25" i="1"/>
  <c r="K25" i="1"/>
  <c r="Q25" i="1"/>
  <c r="E24" i="1"/>
  <c r="F24" i="1"/>
  <c r="G24" i="1"/>
  <c r="K24" i="1"/>
  <c r="Q24" i="1"/>
  <c r="C7" i="1"/>
  <c r="G23" i="1"/>
  <c r="J23" i="1"/>
  <c r="E23" i="1"/>
  <c r="F23" i="1"/>
  <c r="Q22" i="1"/>
  <c r="Q23" i="1"/>
  <c r="C21" i="1"/>
  <c r="E21" i="1"/>
  <c r="F21" i="1"/>
  <c r="E14" i="2"/>
  <c r="Q21" i="1"/>
  <c r="E22" i="1"/>
  <c r="F22" i="1"/>
  <c r="G22" i="1"/>
  <c r="E26" i="1"/>
  <c r="F26" i="1"/>
  <c r="G26" i="1"/>
  <c r="K26" i="1"/>
  <c r="I22" i="1"/>
  <c r="C12" i="1"/>
  <c r="C11" i="1"/>
  <c r="O29" i="1" l="1"/>
  <c r="O28" i="1"/>
  <c r="O27" i="1"/>
  <c r="O31" i="1"/>
  <c r="O30" i="1"/>
  <c r="O23" i="1"/>
  <c r="O24" i="1"/>
  <c r="O22" i="1"/>
  <c r="C15" i="1"/>
  <c r="O26" i="1"/>
  <c r="O25" i="1"/>
  <c r="O21" i="1"/>
  <c r="C16" i="1"/>
  <c r="D18" i="1" s="1"/>
  <c r="E15" i="1"/>
  <c r="C18" i="1" l="1"/>
  <c r="E16" i="1"/>
  <c r="E17" i="1" s="1"/>
</calcChain>
</file>

<file path=xl/sharedStrings.xml><?xml version="1.0" encoding="utf-8"?>
<sst xmlns="http://schemas.openxmlformats.org/spreadsheetml/2006/main" count="110" uniqueCount="83">
  <si>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</si>
  <si>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</si>
  <si>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</si>
  <si>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</si>
  <si>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</si>
  <si>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</si>
  <si>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</si>
  <si>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</si>
  <si>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</si>
  <si>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</si>
  <si>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</si>
  <si>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</si>
  <si>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</si>
  <si>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</si>
  <si>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</si>
  <si>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</si>
  <si>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</si>
  <si>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</si>
  <si>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</si>
  <si>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</si>
  <si>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</si>
  <si>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</si>
  <si>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</si>
  <si>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</si>
  <si>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</si>
  <si>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</si>
  <si>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</si>
  <si>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</si>
  <si>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</si>
  <si>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DV Per / na</t>
  </si>
  <si>
    <t>EB/SD</t>
  </si>
  <si>
    <t>ROTSE</t>
  </si>
  <si>
    <t>I</t>
  </si>
  <si>
    <t>Krajci</t>
  </si>
  <si>
    <t>IBVS 5690</t>
  </si>
  <si>
    <t>IBVS 5677</t>
  </si>
  <si>
    <t>IBVS</t>
  </si>
  <si>
    <t>02 32 36.68 +53 09 31.2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</si>
  <si>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</si>
  <si>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</si>
  <si>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</si>
  <si>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</si>
  <si>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</si>
  <si>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</si>
  <si>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</si>
  <si>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</si>
  <si>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Add cycle</t>
  </si>
  <si>
    <t>Old Cycle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</si>
  <si>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</si>
  <si>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</si>
  <si>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</si>
  <si>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</si>
  <si>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</si>
  <si>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</si>
  <si>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</si>
  <si>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</si>
  <si>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</si>
  <si>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</si>
  <si>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</si>
  <si>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</si>
  <si>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2453261.9751 </t>
  </si>
  <si>
    <t> 13.09.2004 11:24 </t>
  </si>
  <si>
    <t> 0.0783 </t>
  </si>
  <si>
    <t>E </t>
  </si>
  <si>
    <t>?</t>
  </si>
  <si>
    <t> T. Krajci </t>
  </si>
  <si>
    <t>IBVS 5690 </t>
  </si>
  <si>
    <t>2453380.6276 </t>
  </si>
  <si>
    <t> 10.01.2005 03:03 </t>
  </si>
  <si>
    <t> 0.0816 </t>
  </si>
  <si>
    <t> S. Dvorak </t>
  </si>
  <si>
    <t>IBVS 5677 </t>
  </si>
  <si>
    <t>2454811.6855 </t>
  </si>
  <si>
    <t> 11.12.2008 04:27 </t>
  </si>
  <si>
    <t> 0.0856 </t>
  </si>
  <si>
    <t>C </t>
  </si>
  <si>
    <t> R.Diethelm </t>
  </si>
  <si>
    <t>IBVS 5871 </t>
  </si>
  <si>
    <t>2455564.7464 </t>
  </si>
  <si>
    <t> 03.01.2011 05:54 </t>
  </si>
  <si>
    <t> 0.0877 </t>
  </si>
  <si>
    <t>IBVS 5992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</si>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</sst>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3" formatCode="0.00000000"/>
    <numFmt numFmtId="178" formatCode="0.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172" fontId="0" fillId="0" borderId="0" xfId="0" applyNumberFormat="1" applyAlignment="1"/>
    <xf numFmtId="173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8" fontId="21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Per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3-45EF-A091-3461434807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-4.27038600173546E-3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3-45EF-A091-3461434807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3.36194100236753E-3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A3-45EF-A091-3461434807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6.370581999362912E-3</c:v>
                </c:pt>
                <c:pt idx="4">
                  <c:v>6.1197009999887086E-3</c:v>
                </c:pt>
                <c:pt idx="5">
                  <c:v>5.9622999979183078E-3</c:v>
                </c:pt>
                <c:pt idx="6">
                  <c:v>8.6423319953610189E-3</c:v>
                </c:pt>
                <c:pt idx="7">
                  <c:v>1.0256599001877476E-2</c:v>
                </c:pt>
                <c:pt idx="8">
                  <c:v>5.9596139981294982E-3</c:v>
                </c:pt>
                <c:pt idx="9">
                  <c:v>8.4352919948287308E-3</c:v>
                </c:pt>
                <c:pt idx="10">
                  <c:v>1.0447250999277458E-2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A3-45EF-A091-3461434807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A3-45EF-A091-3461434807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A3-45EF-A091-3461434807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A3-45EF-A091-3461434807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-2.4496777049944594E-2</c:v>
                </c:pt>
                <c:pt idx="1">
                  <c:v>5.8472815559468608E-4</c:v>
                </c:pt>
                <c:pt idx="2">
                  <c:v>2.5860135077126686E-3</c:v>
                </c:pt>
                <c:pt idx="3">
                  <c:v>2.7134231858249869E-3</c:v>
                </c:pt>
                <c:pt idx="4">
                  <c:v>4.2501399157102993E-3</c:v>
                </c:pt>
                <c:pt idx="5">
                  <c:v>5.0588013420966443E-3</c:v>
                </c:pt>
                <c:pt idx="6">
                  <c:v>8.9972338410243685E-3</c:v>
                </c:pt>
                <c:pt idx="7">
                  <c:v>9.2477195347281799E-3</c:v>
                </c:pt>
                <c:pt idx="8">
                  <c:v>9.252053197249005E-3</c:v>
                </c:pt>
                <c:pt idx="9">
                  <c:v>9.2745882423573081E-3</c:v>
                </c:pt>
                <c:pt idx="10">
                  <c:v>9.320525065078078E-3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A3-45EF-A091-34614348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77480"/>
        <c:axId val="1"/>
      </c:scatterChart>
      <c:valAx>
        <c:axId val="43337748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77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4921861831491"/>
          <c:w val="0.780291470028282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Per - O-C Diagr.</a:t>
            </a:r>
          </a:p>
        </c:rich>
      </c:tx>
      <c:layout>
        <c:manualLayout>
          <c:xMode val="edge"/>
          <c:yMode val="edge"/>
          <c:x val="0.379032258064516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0-479B-9257-D63CFB438D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-4.27038600173546E-3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0-479B-9257-D63CFB438D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3.36194100236753E-3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0-479B-9257-D63CFB438D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6.370581999362912E-3</c:v>
                </c:pt>
                <c:pt idx="4">
                  <c:v>6.1197009999887086E-3</c:v>
                </c:pt>
                <c:pt idx="5">
                  <c:v>5.9622999979183078E-3</c:v>
                </c:pt>
                <c:pt idx="6">
                  <c:v>8.6423319953610189E-3</c:v>
                </c:pt>
                <c:pt idx="7">
                  <c:v>1.0256599001877476E-2</c:v>
                </c:pt>
                <c:pt idx="8">
                  <c:v>5.9596139981294982E-3</c:v>
                </c:pt>
                <c:pt idx="9">
                  <c:v>8.4352919948287308E-3</c:v>
                </c:pt>
                <c:pt idx="10">
                  <c:v>1.0447250999277458E-2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0-479B-9257-D63CFB438D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0-479B-9257-D63CFB438D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0-479B-9257-D63CFB438D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0-479B-9257-D63CFB438D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-2.4496777049944594E-2</c:v>
                </c:pt>
                <c:pt idx="1">
                  <c:v>5.8472815559468608E-4</c:v>
                </c:pt>
                <c:pt idx="2">
                  <c:v>2.5860135077126686E-3</c:v>
                </c:pt>
                <c:pt idx="3">
                  <c:v>2.7134231858249869E-3</c:v>
                </c:pt>
                <c:pt idx="4">
                  <c:v>4.2501399157102993E-3</c:v>
                </c:pt>
                <c:pt idx="5">
                  <c:v>5.0588013420966443E-3</c:v>
                </c:pt>
                <c:pt idx="6">
                  <c:v>8.9972338410243685E-3</c:v>
                </c:pt>
                <c:pt idx="7">
                  <c:v>9.2477195347281799E-3</c:v>
                </c:pt>
                <c:pt idx="8">
                  <c:v>9.252053197249005E-3</c:v>
                </c:pt>
                <c:pt idx="9">
                  <c:v>9.2745882423573081E-3</c:v>
                </c:pt>
                <c:pt idx="10">
                  <c:v>9.320525065078078E-3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0-479B-9257-D63CFB438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71576"/>
        <c:axId val="1"/>
      </c:scatterChart>
      <c:valAx>
        <c:axId val="433371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71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73298764483702"/>
          <c:w val="0.7790322580645161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15</xdr:col>
      <xdr:colOff>257175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AA1802F-D35D-C926-FC84-90828B973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83A53D2-4696-3A81-622E-0D344856B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konkoly.hu/cgi-bin/IBVS?5677" TargetMode="External"/><Relationship Id="rId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selection activeCell="E12" sqref="E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29</v>
      </c>
      <c r="B1" s="1"/>
      <c r="C1" s="16" t="s">
        <v>37</v>
      </c>
    </row>
    <row r="2" spans="1:7">
      <c r="A2" t="s">
        <v>24</v>
      </c>
      <c r="B2" t="s">
        <v>30</v>
      </c>
    </row>
    <row r="3" spans="1:7" ht="13.5" thickBot="1"/>
    <row r="4" spans="1:7" ht="14.25" thickTop="1" thickBot="1">
      <c r="A4" s="5" t="s">
        <v>0</v>
      </c>
      <c r="B4" s="5"/>
      <c r="C4" s="8">
        <v>28041.287</v>
      </c>
      <c r="D4" s="9">
        <v>0.80713699999999999</v>
      </c>
    </row>
    <row r="6" spans="1:7">
      <c r="A6" s="5" t="s">
        <v>1</v>
      </c>
      <c r="B6" s="5"/>
    </row>
    <row r="7" spans="1:7">
      <c r="A7" t="s">
        <v>2</v>
      </c>
      <c r="C7" s="10">
        <f>+C4</f>
        <v>28041.287</v>
      </c>
    </row>
    <row r="8" spans="1:7">
      <c r="A8" t="s">
        <v>3</v>
      </c>
      <c r="C8" s="11">
        <v>0.80713939700000004</v>
      </c>
    </row>
    <row r="9" spans="1:7">
      <c r="A9" s="17" t="s">
        <v>38</v>
      </c>
      <c r="B9" s="18"/>
      <c r="C9" s="19">
        <v>-9.5</v>
      </c>
      <c r="D9" s="18" t="s">
        <v>39</v>
      </c>
      <c r="E9" s="18"/>
    </row>
    <row r="10" spans="1:7" ht="13.5" thickBot="1">
      <c r="A10" s="18"/>
      <c r="B10" s="18"/>
      <c r="C10" s="4" t="s">
        <v>20</v>
      </c>
      <c r="D10" s="4" t="s">
        <v>21</v>
      </c>
      <c r="E10" s="18"/>
    </row>
    <row r="11" spans="1:7">
      <c r="A11" s="18" t="s">
        <v>16</v>
      </c>
      <c r="B11" s="18"/>
      <c r="C11" s="30">
        <f ca="1">INTERCEPT(INDIRECT($G$11):G992,INDIRECT($F$11):F992)</f>
        <v>-2.4496777049944594E-2</v>
      </c>
      <c r="D11" s="3"/>
      <c r="E11" s="18"/>
      <c r="F11" s="31" t="str">
        <f>"F"&amp;E19</f>
        <v>F21</v>
      </c>
      <c r="G11" s="32" t="str">
        <f>"G"&amp;E19</f>
        <v>G21</v>
      </c>
    </row>
    <row r="12" spans="1:7">
      <c r="A12" s="18" t="s">
        <v>17</v>
      </c>
      <c r="B12" s="18"/>
      <c r="C12" s="30">
        <f ca="1">SLOPE(INDIRECT($G$11):G992,INDIRECT($F$11):F992)</f>
        <v>8.6673250416543227E-7</v>
      </c>
      <c r="D12" s="3"/>
      <c r="E12" s="18"/>
    </row>
    <row r="13" spans="1:7">
      <c r="A13" s="18" t="s">
        <v>19</v>
      </c>
      <c r="B13" s="18"/>
      <c r="C13" s="3" t="s">
        <v>14</v>
      </c>
      <c r="D13" s="22" t="s">
        <v>46</v>
      </c>
      <c r="E13" s="19">
        <v>1</v>
      </c>
    </row>
    <row r="14" spans="1:7">
      <c r="A14" s="18"/>
      <c r="B14" s="18"/>
      <c r="C14" s="18"/>
      <c r="D14" s="22" t="s">
        <v>40</v>
      </c>
      <c r="E14" s="23">
        <f ca="1">NOW()+15018.5+$C$9/24</f>
        <v>59965.811216666661</v>
      </c>
    </row>
    <row r="15" spans="1:7">
      <c r="A15" s="20" t="s">
        <v>18</v>
      </c>
      <c r="B15" s="18"/>
      <c r="C15" s="21">
        <f ca="1">(C7+C11)+(C8+C12)*INT(MAX(F21:F3533))</f>
        <v>59533.454173274069</v>
      </c>
      <c r="D15" s="22" t="s">
        <v>47</v>
      </c>
      <c r="E15" s="23">
        <f ca="1">ROUND(2*(E14-$C$7)/$C$8,0)/2+E13</f>
        <v>39553.5</v>
      </c>
    </row>
    <row r="16" spans="1:7">
      <c r="A16" s="24" t="s">
        <v>4</v>
      </c>
      <c r="B16" s="18"/>
      <c r="C16" s="25">
        <f ca="1">+C8+C12</f>
        <v>0.80714026373250425</v>
      </c>
      <c r="D16" s="22" t="s">
        <v>41</v>
      </c>
      <c r="E16" s="32">
        <f ca="1">ROUND(2*(E14-$C$15)/$C$16,0)/2+E13</f>
        <v>536.5</v>
      </c>
    </row>
    <row r="17" spans="1:17" ht="13.5" thickBot="1">
      <c r="A17" s="22" t="s">
        <v>28</v>
      </c>
      <c r="B17" s="18"/>
      <c r="C17" s="18">
        <f>COUNT(C21:C2191)</f>
        <v>11</v>
      </c>
      <c r="D17" s="22" t="s">
        <v>42</v>
      </c>
      <c r="E17" s="26">
        <f ca="1">+$C$15+$C$16*E16-15018.5-$C$9/24</f>
        <v>44948.380758099891</v>
      </c>
    </row>
    <row r="18" spans="1:17" ht="14.25" thickTop="1" thickBot="1">
      <c r="A18" s="24" t="s">
        <v>5</v>
      </c>
      <c r="B18" s="18"/>
      <c r="C18" s="27">
        <f ca="1">+C15</f>
        <v>59533.454173274069</v>
      </c>
      <c r="D18" s="28">
        <f ca="1">+C16</f>
        <v>0.80714026373250425</v>
      </c>
      <c r="E18" s="29" t="s">
        <v>43</v>
      </c>
    </row>
    <row r="19" spans="1:17" ht="13.5" thickTop="1">
      <c r="A19" s="33" t="s">
        <v>44</v>
      </c>
      <c r="E19" s="34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31</v>
      </c>
      <c r="J20" s="7" t="s">
        <v>33</v>
      </c>
      <c r="K20" s="7" t="s">
        <v>36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B21" s="3"/>
      <c r="C21" s="14">
        <f>+C4</f>
        <v>28041.287</v>
      </c>
      <c r="D21" s="14" t="s">
        <v>14</v>
      </c>
      <c r="E21">
        <f t="shared" ref="E21:E26" si="0">+(C21-C$7)/C$8</f>
        <v>0</v>
      </c>
      <c r="F21">
        <f t="shared" ref="F21:F26" si="1">ROUND(2*E21,0)/2</f>
        <v>0</v>
      </c>
      <c r="H21">
        <v>0</v>
      </c>
      <c r="O21">
        <f t="shared" ref="O21:O26" ca="1" si="2">+C$11+C$12*$F21</f>
        <v>-2.4496777049944594E-2</v>
      </c>
      <c r="Q21" s="2">
        <f t="shared" ref="Q21:Q26" si="3">+C21-15018.5</f>
        <v>13022.787</v>
      </c>
    </row>
    <row r="22" spans="1:17">
      <c r="A22" t="s">
        <v>31</v>
      </c>
      <c r="B22" s="3" t="s">
        <v>32</v>
      </c>
      <c r="C22" s="14">
        <v>51398.282599999999</v>
      </c>
      <c r="D22" s="14"/>
      <c r="E22">
        <f t="shared" si="0"/>
        <v>28937.994709233601</v>
      </c>
      <c r="F22">
        <f t="shared" si="1"/>
        <v>28938</v>
      </c>
      <c r="G22">
        <f>+C22-(C$7+F22*C$8)</f>
        <v>-4.27038600173546E-3</v>
      </c>
      <c r="I22">
        <f>+G22</f>
        <v>-4.27038600173546E-3</v>
      </c>
      <c r="O22">
        <f t="shared" ca="1" si="2"/>
        <v>5.8472815559468608E-4</v>
      </c>
      <c r="Q22" s="2">
        <f t="shared" si="3"/>
        <v>36379.782599999999</v>
      </c>
    </row>
    <row r="23" spans="1:17">
      <c r="A23" s="12" t="s">
        <v>34</v>
      </c>
      <c r="B23" s="3" t="s">
        <v>32</v>
      </c>
      <c r="C23" s="14">
        <v>53261.975100000003</v>
      </c>
      <c r="D23" s="14">
        <v>2.9999999999999997E-4</v>
      </c>
      <c r="E23">
        <f t="shared" si="0"/>
        <v>31247.004165254497</v>
      </c>
      <c r="F23">
        <f t="shared" si="1"/>
        <v>31247</v>
      </c>
      <c r="G23">
        <f>+C23-(C$7+F23*C$8)</f>
        <v>3.36194100236753E-3</v>
      </c>
      <c r="J23">
        <f>+G23</f>
        <v>3.36194100236753E-3</v>
      </c>
      <c r="O23">
        <f t="shared" ca="1" si="2"/>
        <v>2.5860135077126686E-3</v>
      </c>
      <c r="Q23" s="2">
        <f t="shared" si="3"/>
        <v>38243.475100000003</v>
      </c>
    </row>
    <row r="24" spans="1:17">
      <c r="A24" s="12" t="s">
        <v>35</v>
      </c>
      <c r="B24" s="13" t="s">
        <v>32</v>
      </c>
      <c r="C24" s="15">
        <v>53380.6276</v>
      </c>
      <c r="D24" s="15">
        <v>8.0000000000000004E-4</v>
      </c>
      <c r="E24">
        <f t="shared" si="0"/>
        <v>31394.007892790294</v>
      </c>
      <c r="F24">
        <f t="shared" si="1"/>
        <v>31394</v>
      </c>
      <c r="G24">
        <f>+C24-(C$7+F24*C$8)</f>
        <v>6.370581999362912E-3</v>
      </c>
      <c r="K24">
        <f>+G24</f>
        <v>6.370581999362912E-3</v>
      </c>
      <c r="O24">
        <f t="shared" ca="1" si="2"/>
        <v>2.7134231858249869E-3</v>
      </c>
      <c r="Q24" s="2">
        <f t="shared" si="3"/>
        <v>38362.1276</v>
      </c>
    </row>
    <row r="25" spans="1:17">
      <c r="A25" s="35" t="s">
        <v>45</v>
      </c>
      <c r="B25" s="36" t="s">
        <v>32</v>
      </c>
      <c r="C25" s="35">
        <v>54811.6855</v>
      </c>
      <c r="D25" s="35">
        <v>1E-3</v>
      </c>
      <c r="E25">
        <f t="shared" si="0"/>
        <v>33167.007581962942</v>
      </c>
      <c r="F25">
        <f t="shared" si="1"/>
        <v>33167</v>
      </c>
      <c r="G25">
        <f>+C25-(C$7+F25*C$8)</f>
        <v>6.1197009999887086E-3</v>
      </c>
      <c r="K25">
        <f>+G25</f>
        <v>6.1197009999887086E-3</v>
      </c>
      <c r="O25">
        <f t="shared" ca="1" si="2"/>
        <v>4.2501399157102993E-3</v>
      </c>
      <c r="Q25" s="2">
        <f t="shared" si="3"/>
        <v>39793.1855</v>
      </c>
    </row>
    <row r="26" spans="1:17">
      <c r="A26" s="37" t="s">
        <v>48</v>
      </c>
      <c r="B26" s="38" t="s">
        <v>32</v>
      </c>
      <c r="C26" s="37">
        <v>55564.746400000004</v>
      </c>
      <c r="D26" s="37">
        <v>1.1000000000000001E-3</v>
      </c>
      <c r="E26">
        <f t="shared" si="0"/>
        <v>34100.00738695202</v>
      </c>
      <c r="F26">
        <f t="shared" si="1"/>
        <v>34100</v>
      </c>
      <c r="G26">
        <f>+C26-(C$7+F26*C$8)</f>
        <v>5.9622999979183078E-3</v>
      </c>
      <c r="K26">
        <f>+G26</f>
        <v>5.9622999979183078E-3</v>
      </c>
      <c r="O26">
        <f t="shared" ca="1" si="2"/>
        <v>5.0588013420966443E-3</v>
      </c>
      <c r="Q26" s="2">
        <f t="shared" si="3"/>
        <v>40546.246400000004</v>
      </c>
    </row>
    <row r="27" spans="1:17">
      <c r="A27" s="52" t="s">
        <v>82</v>
      </c>
      <c r="B27" s="53" t="s">
        <v>32</v>
      </c>
      <c r="C27" s="54">
        <v>59232.390500000001</v>
      </c>
      <c r="D27" s="52">
        <v>3.5000000000000001E-3</v>
      </c>
      <c r="E27">
        <f t="shared" ref="E27:E31" si="4">+(C27-C$7)/C$8</f>
        <v>38644.010707359885</v>
      </c>
      <c r="F27">
        <f t="shared" ref="F27:F31" si="5">ROUND(2*E27,0)/2</f>
        <v>38644</v>
      </c>
      <c r="G27">
        <f t="shared" ref="G27:G31" si="6">+C27-(C$7+F27*C$8)</f>
        <v>8.6423319953610189E-3</v>
      </c>
      <c r="K27">
        <f t="shared" ref="K27:K31" si="7">+G27</f>
        <v>8.6423319953610189E-3</v>
      </c>
      <c r="O27">
        <f t="shared" ref="O27:O31" ca="1" si="8">+C$11+C$12*$F27</f>
        <v>8.9972338410243685E-3</v>
      </c>
      <c r="Q27" s="2">
        <f t="shared" ref="Q27:Q31" si="9">+C27-15018.5</f>
        <v>44213.890500000001</v>
      </c>
    </row>
    <row r="28" spans="1:17">
      <c r="A28" s="52" t="s">
        <v>82</v>
      </c>
      <c r="B28" s="53" t="s">
        <v>32</v>
      </c>
      <c r="C28" s="54">
        <v>59465.655400000003</v>
      </c>
      <c r="D28" s="52">
        <v>3.5000000000000001E-3</v>
      </c>
      <c r="E28">
        <f t="shared" si="4"/>
        <v>38933.012707345275</v>
      </c>
      <c r="F28">
        <f t="shared" si="5"/>
        <v>38933</v>
      </c>
      <c r="G28">
        <f t="shared" si="6"/>
        <v>1.0256599001877476E-2</v>
      </c>
      <c r="K28">
        <f t="shared" si="7"/>
        <v>1.0256599001877476E-2</v>
      </c>
      <c r="O28">
        <f t="shared" ca="1" si="8"/>
        <v>9.2477195347281799E-3</v>
      </c>
      <c r="Q28" s="2">
        <f t="shared" si="9"/>
        <v>44447.155400000003</v>
      </c>
    </row>
    <row r="29" spans="1:17">
      <c r="A29" s="52" t="s">
        <v>82</v>
      </c>
      <c r="B29" s="53" t="s">
        <v>32</v>
      </c>
      <c r="C29" s="54">
        <v>59469.686800000003</v>
      </c>
      <c r="D29" s="52">
        <v>3.5000000000000001E-3</v>
      </c>
      <c r="E29">
        <f t="shared" si="4"/>
        <v>38938.007383624223</v>
      </c>
      <c r="F29">
        <f t="shared" si="5"/>
        <v>38938</v>
      </c>
      <c r="G29">
        <f t="shared" si="6"/>
        <v>5.9596139981294982E-3</v>
      </c>
      <c r="K29">
        <f t="shared" si="7"/>
        <v>5.9596139981294982E-3</v>
      </c>
      <c r="O29">
        <f t="shared" ca="1" si="8"/>
        <v>9.252053197249005E-3</v>
      </c>
      <c r="Q29" s="2">
        <f t="shared" si="9"/>
        <v>44451.186800000003</v>
      </c>
    </row>
    <row r="30" spans="1:17">
      <c r="A30" s="52" t="s">
        <v>82</v>
      </c>
      <c r="B30" s="53" t="s">
        <v>32</v>
      </c>
      <c r="C30" s="54">
        <v>59490.674899999998</v>
      </c>
      <c r="D30" s="52">
        <v>3.5000000000000001E-3</v>
      </c>
      <c r="E30">
        <f t="shared" si="4"/>
        <v>38964.010450849048</v>
      </c>
      <c r="F30">
        <f t="shared" si="5"/>
        <v>38964</v>
      </c>
      <c r="G30">
        <f t="shared" si="6"/>
        <v>8.4352919948287308E-3</v>
      </c>
      <c r="K30">
        <f t="shared" si="7"/>
        <v>8.4352919948287308E-3</v>
      </c>
      <c r="O30">
        <f t="shared" ca="1" si="8"/>
        <v>9.2745882423573081E-3</v>
      </c>
      <c r="Q30" s="2">
        <f t="shared" si="9"/>
        <v>44472.174899999998</v>
      </c>
    </row>
    <row r="31" spans="1:17">
      <c r="A31" s="52" t="s">
        <v>82</v>
      </c>
      <c r="B31" s="53" t="s">
        <v>32</v>
      </c>
      <c r="C31" s="54">
        <v>59533.455300000001</v>
      </c>
      <c r="D31" s="52">
        <v>3.5000000000000001E-3</v>
      </c>
      <c r="E31">
        <f t="shared" si="4"/>
        <v>39017.012943552305</v>
      </c>
      <c r="F31">
        <f t="shared" si="5"/>
        <v>39017</v>
      </c>
      <c r="G31">
        <f t="shared" si="6"/>
        <v>1.0447250999277458E-2</v>
      </c>
      <c r="K31">
        <f t="shared" si="7"/>
        <v>1.0447250999277458E-2</v>
      </c>
      <c r="O31">
        <f t="shared" ca="1" si="8"/>
        <v>9.320525065078078E-3</v>
      </c>
      <c r="Q31" s="2">
        <f t="shared" si="9"/>
        <v>44514.955300000001</v>
      </c>
    </row>
    <row r="32" spans="1:17">
      <c r="B32" s="3"/>
      <c r="C32" s="15"/>
      <c r="D32" s="15"/>
      <c r="Q32" s="2"/>
    </row>
    <row r="33" spans="2:17">
      <c r="B33" s="3"/>
      <c r="C33" s="15"/>
      <c r="D33" s="15"/>
      <c r="Q33" s="2"/>
    </row>
    <row r="34" spans="2:17">
      <c r="B34" s="3"/>
      <c r="C34" s="15"/>
      <c r="D34" s="15"/>
    </row>
    <row r="35" spans="2:17">
      <c r="B35" s="3"/>
      <c r="C35" s="15"/>
      <c r="D35" s="15"/>
    </row>
    <row r="36" spans="2:17">
      <c r="B36" s="3"/>
      <c r="C36" s="15"/>
      <c r="D36" s="15"/>
    </row>
    <row r="37" spans="2:17">
      <c r="B37" s="3"/>
      <c r="C37" s="15"/>
      <c r="D37" s="15"/>
    </row>
    <row r="38" spans="2:17">
      <c r="B38" s="3"/>
      <c r="C38" s="15"/>
      <c r="D38" s="15"/>
    </row>
    <row r="39" spans="2:17">
      <c r="B39" s="3"/>
      <c r="C39" s="15"/>
      <c r="D39" s="15"/>
    </row>
    <row r="40" spans="2:17">
      <c r="B40" s="3"/>
      <c r="C40" s="15"/>
      <c r="D40" s="15"/>
    </row>
    <row r="41" spans="2:17">
      <c r="B41" s="3"/>
      <c r="C41" s="15"/>
      <c r="D41" s="15"/>
    </row>
    <row r="42" spans="2:17">
      <c r="B42" s="3"/>
      <c r="C42" s="15"/>
      <c r="D42" s="15"/>
    </row>
    <row r="43" spans="2:17">
      <c r="B43" s="3"/>
      <c r="C43" s="15"/>
      <c r="D43" s="15"/>
    </row>
    <row r="44" spans="2:17">
      <c r="B44" s="3"/>
      <c r="C44" s="15"/>
      <c r="D44" s="15"/>
    </row>
    <row r="45" spans="2:17">
      <c r="B45" s="3"/>
      <c r="C45" s="15"/>
      <c r="D45" s="15"/>
    </row>
    <row r="46" spans="2:17">
      <c r="C46" s="15"/>
      <c r="D46" s="15"/>
    </row>
    <row r="47" spans="2:17">
      <c r="C47" s="15"/>
      <c r="D47" s="15"/>
    </row>
    <row r="48" spans="2:17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  <row r="2564" spans="3:4">
      <c r="C2564" s="15"/>
      <c r="D256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6"/>
  <sheetViews>
    <sheetView workbookViewId="0">
      <selection activeCell="A11" sqref="A11:IV448"/>
    </sheetView>
  </sheetViews>
  <sheetFormatPr defaultRowHeight="12.75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39" t="s">
        <v>49</v>
      </c>
      <c r="I1" s="40" t="s">
        <v>50</v>
      </c>
      <c r="J1" s="41" t="s">
        <v>51</v>
      </c>
    </row>
    <row r="2" spans="1:16">
      <c r="I2" s="42" t="s">
        <v>52</v>
      </c>
      <c r="J2" s="43" t="s">
        <v>53</v>
      </c>
    </row>
    <row r="3" spans="1:16">
      <c r="A3" s="44" t="s">
        <v>54</v>
      </c>
      <c r="I3" s="42" t="s">
        <v>55</v>
      </c>
      <c r="J3" s="43" t="s">
        <v>56</v>
      </c>
    </row>
    <row r="4" spans="1:16">
      <c r="I4" s="42" t="s">
        <v>57</v>
      </c>
      <c r="J4" s="43" t="s">
        <v>56</v>
      </c>
    </row>
    <row r="5" spans="1:16" ht="13.5" thickBot="1">
      <c r="I5" s="45" t="s">
        <v>58</v>
      </c>
      <c r="J5" s="46" t="s">
        <v>59</v>
      </c>
    </row>
    <row r="10" spans="1:16" ht="13.5" thickBot="1"/>
    <row r="11" spans="1:16" ht="12.75" customHeight="1" thickBot="1">
      <c r="A11" s="15" t="str">
        <f>P11</f>
        <v>IBVS 5690 </v>
      </c>
      <c r="B11" s="3" t="str">
        <f>IF(H11=INT(H11),"I","II")</f>
        <v>I</v>
      </c>
      <c r="C11" s="15">
        <f>1*G11</f>
        <v>53261.975100000003</v>
      </c>
      <c r="D11" s="18" t="str">
        <f>VLOOKUP(F11,I$1:J$5,2,FALSE)</f>
        <v>vis</v>
      </c>
      <c r="E11" s="47">
        <f>VLOOKUP(C11,Active!C$21:E$973,3,FALSE)</f>
        <v>31247.004165254497</v>
      </c>
      <c r="F11" s="3" t="s">
        <v>58</v>
      </c>
      <c r="G11" s="18" t="str">
        <f>MID(I11,3,LEN(I11)-3)</f>
        <v>53261.9751</v>
      </c>
      <c r="H11" s="15">
        <f>1*K11</f>
        <v>31247</v>
      </c>
      <c r="I11" s="48" t="s">
        <v>60</v>
      </c>
      <c r="J11" s="49" t="s">
        <v>61</v>
      </c>
      <c r="K11" s="48">
        <v>31247</v>
      </c>
      <c r="L11" s="48" t="s">
        <v>62</v>
      </c>
      <c r="M11" s="49" t="s">
        <v>63</v>
      </c>
      <c r="N11" s="49" t="s">
        <v>64</v>
      </c>
      <c r="O11" s="50" t="s">
        <v>65</v>
      </c>
      <c r="P11" s="51" t="s">
        <v>66</v>
      </c>
    </row>
    <row r="12" spans="1:16" ht="12.75" customHeight="1" thickBot="1">
      <c r="A12" s="15" t="str">
        <f>P12</f>
        <v>IBVS 5677 </v>
      </c>
      <c r="B12" s="3" t="str">
        <f>IF(H12=INT(H12),"I","II")</f>
        <v>I</v>
      </c>
      <c r="C12" s="15">
        <f>1*G12</f>
        <v>53380.6276</v>
      </c>
      <c r="D12" s="18" t="str">
        <f>VLOOKUP(F12,I$1:J$5,2,FALSE)</f>
        <v>vis</v>
      </c>
      <c r="E12" s="47">
        <f>VLOOKUP(C12,Active!C$21:E$973,3,FALSE)</f>
        <v>31394.007892790294</v>
      </c>
      <c r="F12" s="3" t="s">
        <v>58</v>
      </c>
      <c r="G12" s="18" t="str">
        <f>MID(I12,3,LEN(I12)-3)</f>
        <v>53380.6276</v>
      </c>
      <c r="H12" s="15">
        <f>1*K12</f>
        <v>31394</v>
      </c>
      <c r="I12" s="48" t="s">
        <v>67</v>
      </c>
      <c r="J12" s="49" t="s">
        <v>68</v>
      </c>
      <c r="K12" s="48">
        <v>31394</v>
      </c>
      <c r="L12" s="48" t="s">
        <v>69</v>
      </c>
      <c r="M12" s="49" t="s">
        <v>63</v>
      </c>
      <c r="N12" s="49" t="s">
        <v>64</v>
      </c>
      <c r="O12" s="50" t="s">
        <v>70</v>
      </c>
      <c r="P12" s="51" t="s">
        <v>71</v>
      </c>
    </row>
    <row r="13" spans="1:16" ht="12.75" customHeight="1" thickBot="1">
      <c r="A13" s="15" t="str">
        <f>P13</f>
        <v>IBVS 5871 </v>
      </c>
      <c r="B13" s="3" t="str">
        <f>IF(H13=INT(H13),"I","II")</f>
        <v>I</v>
      </c>
      <c r="C13" s="15">
        <f>1*G13</f>
        <v>54811.6855</v>
      </c>
      <c r="D13" s="18" t="str">
        <f>VLOOKUP(F13,I$1:J$5,2,FALSE)</f>
        <v>vis</v>
      </c>
      <c r="E13" s="47">
        <f>VLOOKUP(C13,Active!C$21:E$973,3,FALSE)</f>
        <v>33167.007581962942</v>
      </c>
      <c r="F13" s="3" t="s">
        <v>58</v>
      </c>
      <c r="G13" s="18" t="str">
        <f>MID(I13,3,LEN(I13)-3)</f>
        <v>54811.6855</v>
      </c>
      <c r="H13" s="15">
        <f>1*K13</f>
        <v>33167</v>
      </c>
      <c r="I13" s="48" t="s">
        <v>72</v>
      </c>
      <c r="J13" s="49" t="s">
        <v>73</v>
      </c>
      <c r="K13" s="48">
        <v>33167</v>
      </c>
      <c r="L13" s="48" t="s">
        <v>74</v>
      </c>
      <c r="M13" s="49" t="s">
        <v>75</v>
      </c>
      <c r="N13" s="49" t="s">
        <v>58</v>
      </c>
      <c r="O13" s="50" t="s">
        <v>76</v>
      </c>
      <c r="P13" s="51" t="s">
        <v>77</v>
      </c>
    </row>
    <row r="14" spans="1:16" ht="12.75" customHeight="1" thickBot="1">
      <c r="A14" s="15" t="str">
        <f>P14</f>
        <v>IBVS 5992 </v>
      </c>
      <c r="B14" s="3" t="str">
        <f>IF(H14=INT(H14),"I","II")</f>
        <v>I</v>
      </c>
      <c r="C14" s="15">
        <f>1*G14</f>
        <v>55564.746400000004</v>
      </c>
      <c r="D14" s="18" t="str">
        <f>VLOOKUP(F14,I$1:J$5,2,FALSE)</f>
        <v>vis</v>
      </c>
      <c r="E14" s="47">
        <f>VLOOKUP(C14,Active!C$21:E$973,3,FALSE)</f>
        <v>34100.00738695202</v>
      </c>
      <c r="F14" s="3" t="s">
        <v>58</v>
      </c>
      <c r="G14" s="18" t="str">
        <f>MID(I14,3,LEN(I14)-3)</f>
        <v>55564.7464</v>
      </c>
      <c r="H14" s="15">
        <f>1*K14</f>
        <v>34100</v>
      </c>
      <c r="I14" s="48" t="s">
        <v>78</v>
      </c>
      <c r="J14" s="49" t="s">
        <v>79</v>
      </c>
      <c r="K14" s="48">
        <v>34100</v>
      </c>
      <c r="L14" s="48" t="s">
        <v>80</v>
      </c>
      <c r="M14" s="49" t="s">
        <v>75</v>
      </c>
      <c r="N14" s="49" t="s">
        <v>58</v>
      </c>
      <c r="O14" s="50" t="s">
        <v>76</v>
      </c>
      <c r="P14" s="51" t="s">
        <v>81</v>
      </c>
    </row>
    <row r="15" spans="1:16">
      <c r="B15" s="3"/>
      <c r="F15" s="3"/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</sheetData>
  <phoneticPr fontId="7" type="noConversion"/>
  <hyperlinks>
    <hyperlink ref="P11" r:id="rId1" display="http://www.konkoly.hu/cgi-bin/IBVS?5690"/>
    <hyperlink ref="P12" r:id="rId2" display="http://www.konkoly.hu/cgi-bin/IBVS?5677"/>
    <hyperlink ref="P13" r:id="rId3" display="http://www.konkoly.hu/cgi-bin/IBVS?5871"/>
    <hyperlink ref="P14" r:id="rId4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2023-01-21T06:28:09Z</dcterms:modified>
</cp:coreProperties>
</file>