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9D47C4A-4437-4ECE-80B2-5156F9B23064}" xr6:coauthVersionLast="47" xr6:coauthVersionMax="47" xr10:uidLastSave="{00000000-0000-0000-0000-000000000000}"/>
  <bookViews>
    <workbookView xWindow="13845" yWindow="45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/>
  <c r="G48" i="1" s="1"/>
  <c r="Q48" i="1"/>
  <c r="E46" i="1"/>
  <c r="F46" i="1"/>
  <c r="G46" i="1"/>
  <c r="K46" i="1"/>
  <c r="Q46" i="1"/>
  <c r="E47" i="1"/>
  <c r="F47" i="1"/>
  <c r="G47" i="1"/>
  <c r="K47" i="1"/>
  <c r="Q47" i="1"/>
  <c r="Q42" i="1"/>
  <c r="E23" i="1"/>
  <c r="F23" i="1"/>
  <c r="E38" i="1"/>
  <c r="F38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19" i="2"/>
  <c r="C19" i="2"/>
  <c r="G18" i="2"/>
  <c r="C18" i="2"/>
  <c r="G17" i="2"/>
  <c r="C17" i="2"/>
  <c r="G33" i="2"/>
  <c r="C33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H19" i="2"/>
  <c r="B19" i="2"/>
  <c r="D19" i="2"/>
  <c r="A19" i="2"/>
  <c r="H18" i="2"/>
  <c r="D18" i="2"/>
  <c r="B18" i="2"/>
  <c r="A18" i="2"/>
  <c r="H17" i="2"/>
  <c r="B17" i="2"/>
  <c r="D17" i="2"/>
  <c r="A17" i="2"/>
  <c r="H33" i="2"/>
  <c r="D33" i="2"/>
  <c r="B33" i="2"/>
  <c r="A33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43" i="1"/>
  <c r="Q44" i="1"/>
  <c r="Q45" i="1"/>
  <c r="E15" i="1"/>
  <c r="C17" i="1"/>
  <c r="Q40" i="1"/>
  <c r="Q41" i="1"/>
  <c r="C7" i="1"/>
  <c r="E27" i="1"/>
  <c r="F27" i="1"/>
  <c r="C8" i="1"/>
  <c r="Q38" i="1"/>
  <c r="Q39" i="1"/>
  <c r="Q36" i="1"/>
  <c r="Q35" i="1"/>
  <c r="Q37" i="1"/>
  <c r="Q26" i="1"/>
  <c r="E26" i="2"/>
  <c r="E32" i="2"/>
  <c r="E29" i="2"/>
  <c r="E23" i="2"/>
  <c r="E18" i="2"/>
  <c r="E44" i="1"/>
  <c r="F44" i="1"/>
  <c r="E35" i="1"/>
  <c r="F35" i="1"/>
  <c r="G35" i="1"/>
  <c r="I35" i="1"/>
  <c r="G31" i="1"/>
  <c r="L31" i="1"/>
  <c r="E29" i="1"/>
  <c r="F29" i="1"/>
  <c r="E40" i="1"/>
  <c r="F40" i="1"/>
  <c r="G40" i="1"/>
  <c r="J40" i="1"/>
  <c r="E34" i="1"/>
  <c r="F34" i="1"/>
  <c r="G28" i="1"/>
  <c r="L28" i="1"/>
  <c r="E25" i="1"/>
  <c r="F25" i="1"/>
  <c r="E32" i="1"/>
  <c r="F32" i="1"/>
  <c r="G32" i="1"/>
  <c r="L32" i="1"/>
  <c r="E37" i="1"/>
  <c r="F37" i="1"/>
  <c r="G37" i="1"/>
  <c r="I37" i="1"/>
  <c r="E31" i="1"/>
  <c r="F31" i="1"/>
  <c r="E22" i="1"/>
  <c r="F22" i="1"/>
  <c r="G22" i="1"/>
  <c r="L22" i="1"/>
  <c r="E43" i="1"/>
  <c r="F43" i="1"/>
  <c r="G43" i="1"/>
  <c r="K43" i="1"/>
  <c r="E26" i="1"/>
  <c r="F26" i="1"/>
  <c r="G26" i="1"/>
  <c r="H26" i="1"/>
  <c r="E28" i="1"/>
  <c r="F28" i="1"/>
  <c r="G21" i="1"/>
  <c r="G25" i="1"/>
  <c r="L25" i="1"/>
  <c r="E39" i="1"/>
  <c r="F39" i="1"/>
  <c r="G39" i="1"/>
  <c r="J39" i="1"/>
  <c r="E33" i="1"/>
  <c r="F33" i="1"/>
  <c r="G33" i="1"/>
  <c r="L33" i="1"/>
  <c r="G27" i="1"/>
  <c r="L27" i="1"/>
  <c r="E24" i="1"/>
  <c r="F24" i="1"/>
  <c r="G24" i="1"/>
  <c r="L24" i="1"/>
  <c r="E45" i="1"/>
  <c r="F45" i="1"/>
  <c r="G45" i="1"/>
  <c r="K45" i="1"/>
  <c r="G38" i="1"/>
  <c r="J38" i="1"/>
  <c r="E36" i="1"/>
  <c r="F36" i="1"/>
  <c r="G36" i="1"/>
  <c r="J36" i="1"/>
  <c r="E30" i="1"/>
  <c r="F30" i="1"/>
  <c r="G30" i="1"/>
  <c r="L30" i="1"/>
  <c r="G23" i="1"/>
  <c r="L23" i="1"/>
  <c r="E21" i="1"/>
  <c r="F21" i="1"/>
  <c r="G34" i="1"/>
  <c r="L34" i="1"/>
  <c r="G44" i="1"/>
  <c r="K44" i="1"/>
  <c r="E41" i="1"/>
  <c r="F41" i="1"/>
  <c r="G41" i="1"/>
  <c r="J41" i="1"/>
  <c r="E42" i="1"/>
  <c r="F42" i="1"/>
  <c r="G42" i="1"/>
  <c r="L42" i="1"/>
  <c r="G29" i="1"/>
  <c r="L29" i="1"/>
  <c r="L21" i="1"/>
  <c r="E11" i="2"/>
  <c r="E17" i="2"/>
  <c r="E28" i="2"/>
  <c r="E13" i="2"/>
  <c r="E16" i="2"/>
  <c r="E19" i="2"/>
  <c r="E30" i="2"/>
  <c r="E20" i="2"/>
  <c r="E27" i="2"/>
  <c r="E24" i="2"/>
  <c r="E33" i="2"/>
  <c r="E21" i="2"/>
  <c r="E15" i="2"/>
  <c r="E12" i="2"/>
  <c r="E31" i="2"/>
  <c r="C11" i="1" l="1"/>
  <c r="K48" i="1"/>
  <c r="C12" i="1"/>
  <c r="C16" i="1" s="1"/>
  <c r="D18" i="1" s="1"/>
  <c r="O29" i="1" l="1"/>
  <c r="O22" i="1"/>
  <c r="O24" i="1"/>
  <c r="O37" i="1"/>
  <c r="O36" i="1"/>
  <c r="O40" i="1"/>
  <c r="O44" i="1"/>
  <c r="C15" i="1"/>
  <c r="O38" i="1"/>
  <c r="O45" i="1"/>
  <c r="O28" i="1"/>
  <c r="O21" i="1"/>
  <c r="O48" i="1"/>
  <c r="O41" i="1"/>
  <c r="O35" i="1"/>
  <c r="O34" i="1"/>
  <c r="O25" i="1"/>
  <c r="O32" i="1"/>
  <c r="O39" i="1"/>
  <c r="O47" i="1"/>
  <c r="O43" i="1"/>
  <c r="O23" i="1"/>
  <c r="O42" i="1"/>
  <c r="O46" i="1"/>
  <c r="O31" i="1"/>
  <c r="O33" i="1"/>
  <c r="O27" i="1"/>
  <c r="O26" i="1"/>
  <c r="O30" i="1"/>
  <c r="C18" i="1" l="1"/>
  <c r="E16" i="1"/>
  <c r="E17" i="1" s="1"/>
</calcChain>
</file>

<file path=xl/sharedStrings.xml><?xml version="1.0" encoding="utf-8"?>
<sst xmlns="http://schemas.openxmlformats.org/spreadsheetml/2006/main" count="282" uniqueCount="157">
  <si>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</si>
  <si>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</si>
  <si>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</si>
  <si>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</si>
  <si>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</si>
  <si>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</si>
  <si>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</si>
  <si>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</si>
  <si>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</si>
  <si>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</si>
  <si>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</si>
  <si>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</si>
  <si>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</si>
  <si>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</si>
  <si>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</si>
  <si>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</si>
  <si>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</si>
  <si>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</si>
  <si>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</si>
  <si>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</si>
  <si>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</si>
  <si>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</si>
  <si>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</si>
  <si>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</si>
  <si>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</si>
  <si>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</si>
  <si>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</si>
  <si>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</si>
  <si>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Vandebroere J</t>
  </si>
  <si>
    <t>BBSAG Bull.112</t>
  </si>
  <si>
    <t>B</t>
  </si>
  <si>
    <t>Vandenbroere J</t>
  </si>
  <si>
    <t>BBSAG Bull.116</t>
  </si>
  <si>
    <t>IBVS 4888</t>
  </si>
  <si>
    <t>I</t>
  </si>
  <si>
    <t>IBVS 4712</t>
  </si>
  <si>
    <t>IBVS 4472</t>
  </si>
  <si>
    <t>BBSAG</t>
  </si>
  <si>
    <t>IBVS</t>
  </si>
  <si>
    <t>IBVS 5583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</si>
  <si>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</si>
  <si>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</si>
  <si>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</si>
  <si>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</si>
  <si>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</si>
  <si>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</si>
  <si>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</si>
  <si>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</si>
  <si>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OEJV 0160</t>
  </si>
  <si>
    <t>OEJV</t>
  </si>
  <si>
    <t>DK Sct / GSC 5126-4091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</si>
  <si>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</si>
  <si>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</si>
  <si>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</si>
  <si>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</si>
  <si>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</si>
  <si>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</si>
  <si>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</si>
  <si>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</si>
  <si>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</si>
  <si>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</si>
  <si>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</si>
  <si>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2427902.948 </t>
  </si>
  <si>
    <t> 10.04.1935 10:45 </t>
  </si>
  <si>
    <t> 0.073 </t>
  </si>
  <si>
    <t>P </t>
  </si>
  <si>
    <t> G.A.Bakos </t>
  </si>
  <si>
    <t> BAN 10.285 </t>
  </si>
  <si>
    <t>2427957.754 </t>
  </si>
  <si>
    <t> 04.06.1935 06:05 </t>
  </si>
  <si>
    <t> 0.080 </t>
  </si>
  <si>
    <t>2427963.821 </t>
  </si>
  <si>
    <t> 10.06.1935 07:42 </t>
  </si>
  <si>
    <t> 0.059 </t>
  </si>
  <si>
    <t>2427984.512 </t>
  </si>
  <si>
    <t> 01.07.1935 00:17 </t>
  </si>
  <si>
    <t> 0.048 </t>
  </si>
  <si>
    <t>2428013.741 </t>
  </si>
  <si>
    <t> 30.07.1935 05:47 </t>
  </si>
  <si>
    <t> 0.051 </t>
  </si>
  <si>
    <t>2428755.355 </t>
  </si>
  <si>
    <t> 09.08.1937 20:31 </t>
  </si>
  <si>
    <t>2428833.290 </t>
  </si>
  <si>
    <t> 26.10.1937 18:57 </t>
  </si>
  <si>
    <t> 0.058 </t>
  </si>
  <si>
    <t>2429074.359 </t>
  </si>
  <si>
    <t> 24.06.1938 20:36 </t>
  </si>
  <si>
    <t> 0.014 </t>
  </si>
  <si>
    <t>2429108.484 </t>
  </si>
  <si>
    <t> 28.07.1938 23:36 </t>
  </si>
  <si>
    <t> 0.042 </t>
  </si>
  <si>
    <t>2429141.341 </t>
  </si>
  <si>
    <t> 30.08.1938 20:11 </t>
  </si>
  <si>
    <t> 0.020 </t>
  </si>
  <si>
    <t>2429399.546 </t>
  </si>
  <si>
    <t> 16.05.1939 01:06 </t>
  </si>
  <si>
    <t> 0.063 </t>
  </si>
  <si>
    <t>2429410.467 </t>
  </si>
  <si>
    <t> 26.05.1939 23:12 </t>
  </si>
  <si>
    <t> 0.025 </t>
  </si>
  <si>
    <t>2429438.468 </t>
  </si>
  <si>
    <t> 23.06.1939 23:13 </t>
  </si>
  <si>
    <t> 0.018 </t>
  </si>
  <si>
    <t>2450276.501 </t>
  </si>
  <si>
    <t> 12.07.1996 00:01 </t>
  </si>
  <si>
    <t> -1.202 </t>
  </si>
  <si>
    <t>V </t>
  </si>
  <si>
    <t> J.Vandenbroere </t>
  </si>
  <si>
    <t> BBS 112 </t>
  </si>
  <si>
    <t>2450287.4765 </t>
  </si>
  <si>
    <t> 22.07.1996 23:26 </t>
  </si>
  <si>
    <t> -1.1867 </t>
  </si>
  <si>
    <t>E </t>
  </si>
  <si>
    <t>o</t>
  </si>
  <si>
    <t> W.Kleikamp </t>
  </si>
  <si>
    <t>BAVM 99 </t>
  </si>
  <si>
    <t>2450634.512 </t>
  </si>
  <si>
    <t> 05.07.1997 00:17 </t>
  </si>
  <si>
    <t> -1.208 </t>
  </si>
  <si>
    <t> BBS 116 </t>
  </si>
  <si>
    <t>2451036.3865 </t>
  </si>
  <si>
    <t> 10.08.1998 21:16 </t>
  </si>
  <si>
    <t> -1.1892 </t>
  </si>
  <si>
    <t>?</t>
  </si>
  <si>
    <t> J.Safar </t>
  </si>
  <si>
    <t>IBVS 4888 </t>
  </si>
  <si>
    <t>2451036.3879 </t>
  </si>
  <si>
    <t> 10.08.1998 21:18 </t>
  </si>
  <si>
    <t> -1.1878 </t>
  </si>
  <si>
    <t>BAVM 118 </t>
  </si>
  <si>
    <t>2452837.4255 </t>
  </si>
  <si>
    <t> 16.07.2003 22:12 </t>
  </si>
  <si>
    <t> -1.1936 </t>
  </si>
  <si>
    <t> M.Zejda </t>
  </si>
  <si>
    <t>IBVS 5583 </t>
  </si>
  <si>
    <t>2454319.4127 </t>
  </si>
  <si>
    <t> 06.08.2007 21:54 </t>
  </si>
  <si>
    <t> -1.2008 </t>
  </si>
  <si>
    <t>C </t>
  </si>
  <si>
    <t>-I</t>
  </si>
  <si>
    <t> F.Agerer </t>
  </si>
  <si>
    <t>BAVM 193 </t>
  </si>
  <si>
    <t>2455740.50461 </t>
  </si>
  <si>
    <t> 28.06.2011 00:06 </t>
  </si>
  <si>
    <t>22161</t>
  </si>
  <si>
    <t> -1.21617 </t>
  </si>
  <si>
    <t>R</t>
  </si>
  <si>
    <t> M.Lehky </t>
  </si>
  <si>
    <t>OEJV 0160 </t>
  </si>
  <si>
    <t>2455740.50502 </t>
  </si>
  <si>
    <t> 28.06.2011 00:07 </t>
  </si>
  <si>
    <t> -1.21576 </t>
  </si>
  <si>
    <t>2455740.5055 </t>
  </si>
  <si>
    <t> -1.2153 </t>
  </si>
  <si>
    <t>JAVSO 49, 108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</si>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</sst>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6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Sct - O-C Diagr.</a:t>
            </a:r>
          </a:p>
        </c:rich>
      </c:tx>
      <c:layout>
        <c:manualLayout>
          <c:xMode val="edge"/>
          <c:yMode val="edge"/>
          <c:x val="0.3863642726477372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7291559084339"/>
          <c:y val="0.15"/>
          <c:w val="0.8272739513404819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E-4F57-98DA-93EF12E039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4">
                  <c:v>1.5288000002328772E-2</c:v>
                </c:pt>
                <c:pt idx="16">
                  <c:v>9.5520000031683594E-3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E-4F57-98DA-93EF12E039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5">
                  <c:v>3.1091999997443054E-2</c:v>
                </c:pt>
                <c:pt idx="17">
                  <c:v>2.8532000003906433E-2</c:v>
                </c:pt>
                <c:pt idx="18">
                  <c:v>2.9932000004919246E-2</c:v>
                </c:pt>
                <c:pt idx="19">
                  <c:v>2.4155999999493361E-2</c:v>
                </c:pt>
                <c:pt idx="20">
                  <c:v>2.4155999999493361E-2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E-4F57-98DA-93EF12E039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2">
                  <c:v>1.5700000076321885E-3</c:v>
                </c:pt>
                <c:pt idx="23">
                  <c:v>1.9800000009126961E-3</c:v>
                </c:pt>
                <c:pt idx="24">
                  <c:v>2.4600000033387914E-3</c:v>
                </c:pt>
                <c:pt idx="25">
                  <c:v>3.9680000045336783E-3</c:v>
                </c:pt>
                <c:pt idx="26">
                  <c:v>4.7120000017457642E-3</c:v>
                </c:pt>
                <c:pt idx="27">
                  <c:v>3.0600000027334318E-3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E-4F57-98DA-93EF12E039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0">
                  <c:v>7.2800000001734588E-2</c:v>
                </c:pt>
                <c:pt idx="1">
                  <c:v>8.0320000000938307E-2</c:v>
                </c:pt>
                <c:pt idx="2">
                  <c:v>5.8600000000296859E-2</c:v>
                </c:pt>
                <c:pt idx="3">
                  <c:v>4.7952000000805128E-2</c:v>
                </c:pt>
                <c:pt idx="4">
                  <c:v>5.1096000002871733E-2</c:v>
                </c:pt>
                <c:pt idx="6">
                  <c:v>5.9000000001105946E-2</c:v>
                </c:pt>
                <c:pt idx="7">
                  <c:v>5.8384000003570691E-2</c:v>
                </c:pt>
                <c:pt idx="8">
                  <c:v>1.4072000001760898E-2</c:v>
                </c:pt>
                <c:pt idx="9">
                  <c:v>4.2240000002493616E-2</c:v>
                </c:pt>
                <c:pt idx="10">
                  <c:v>2.0152000000962289E-2</c:v>
                </c:pt>
                <c:pt idx="11">
                  <c:v>6.3423999999940861E-2</c:v>
                </c:pt>
                <c:pt idx="12">
                  <c:v>2.4728000000322936E-2</c:v>
                </c:pt>
                <c:pt idx="13">
                  <c:v>1.7616000000998611E-2</c:v>
                </c:pt>
                <c:pt idx="21">
                  <c:v>1.6908000005059876E-2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E-4F57-98DA-93EF12E039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E-4F57-98DA-93EF12E039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5">
                    <c:v>0</c:v>
                  </c:pt>
                  <c:pt idx="14">
                    <c:v>8.0000000000000002E-3</c:v>
                  </c:pt>
                  <c:pt idx="15">
                    <c:v>0</c:v>
                  </c:pt>
                  <c:pt idx="16">
                    <c:v>5.0000000000000001E-3</c:v>
                  </c:pt>
                  <c:pt idx="17">
                    <c:v>3.0000000000000001E-3</c:v>
                  </c:pt>
                  <c:pt idx="18">
                    <c:v>4.0000000000000002E-4</c:v>
                  </c:pt>
                  <c:pt idx="19">
                    <c:v>3.7000000000000002E-3</c:v>
                  </c:pt>
                  <c:pt idx="20">
                    <c:v>3.7000000000000002E-3</c:v>
                  </c:pt>
                  <c:pt idx="22">
                    <c:v>5.9999999999999995E-4</c:v>
                  </c:pt>
                  <c:pt idx="23">
                    <c:v>5.9999999999999995E-4</c:v>
                  </c:pt>
                  <c:pt idx="24">
                    <c:v>1E-3</c:v>
                  </c:pt>
                  <c:pt idx="25">
                    <c:v>5.9999999999999995E-4</c:v>
                  </c:pt>
                  <c:pt idx="26">
                    <c:v>4.0000000000000002E-4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E-4F57-98DA-93EF12E039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-700</c:v>
                </c:pt>
                <c:pt idx="1">
                  <c:v>-655</c:v>
                </c:pt>
                <c:pt idx="2">
                  <c:v>-650</c:v>
                </c:pt>
                <c:pt idx="3">
                  <c:v>-633</c:v>
                </c:pt>
                <c:pt idx="4">
                  <c:v>-609</c:v>
                </c:pt>
                <c:pt idx="5">
                  <c:v>0</c:v>
                </c:pt>
                <c:pt idx="6">
                  <c:v>0</c:v>
                </c:pt>
                <c:pt idx="7">
                  <c:v>64</c:v>
                </c:pt>
                <c:pt idx="8">
                  <c:v>262</c:v>
                </c:pt>
                <c:pt idx="9">
                  <c:v>290</c:v>
                </c:pt>
                <c:pt idx="10">
                  <c:v>317</c:v>
                </c:pt>
                <c:pt idx="11">
                  <c:v>529</c:v>
                </c:pt>
                <c:pt idx="12">
                  <c:v>538</c:v>
                </c:pt>
                <c:pt idx="13">
                  <c:v>561</c:v>
                </c:pt>
                <c:pt idx="14">
                  <c:v>17673</c:v>
                </c:pt>
                <c:pt idx="15">
                  <c:v>17682</c:v>
                </c:pt>
                <c:pt idx="16">
                  <c:v>17967</c:v>
                </c:pt>
                <c:pt idx="17">
                  <c:v>18297</c:v>
                </c:pt>
                <c:pt idx="18">
                  <c:v>18297</c:v>
                </c:pt>
                <c:pt idx="19">
                  <c:v>19776</c:v>
                </c:pt>
                <c:pt idx="20">
                  <c:v>19776</c:v>
                </c:pt>
                <c:pt idx="21">
                  <c:v>20993</c:v>
                </c:pt>
                <c:pt idx="22">
                  <c:v>22160</c:v>
                </c:pt>
                <c:pt idx="23">
                  <c:v>22160</c:v>
                </c:pt>
                <c:pt idx="24">
                  <c:v>22160</c:v>
                </c:pt>
                <c:pt idx="25">
                  <c:v>24903</c:v>
                </c:pt>
                <c:pt idx="26">
                  <c:v>25177</c:v>
                </c:pt>
                <c:pt idx="27">
                  <c:v>25485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4.5427485666984624E-2</c:v>
                </c:pt>
                <c:pt idx="1">
                  <c:v>4.5360406218208221E-2</c:v>
                </c:pt>
                <c:pt idx="2">
                  <c:v>4.5352952946121954E-2</c:v>
                </c:pt>
                <c:pt idx="3">
                  <c:v>4.5327611821028645E-2</c:v>
                </c:pt>
                <c:pt idx="4">
                  <c:v>4.5291836115014562E-2</c:v>
                </c:pt>
                <c:pt idx="5">
                  <c:v>4.4384027574907232E-2</c:v>
                </c:pt>
                <c:pt idx="6">
                  <c:v>4.4384027574907232E-2</c:v>
                </c:pt>
                <c:pt idx="7">
                  <c:v>4.4288625692203015E-2</c:v>
                </c:pt>
                <c:pt idx="8">
                  <c:v>4.399347611758684E-2</c:v>
                </c:pt>
                <c:pt idx="9">
                  <c:v>4.3951737793903746E-2</c:v>
                </c:pt>
                <c:pt idx="10">
                  <c:v>4.3911490124637902E-2</c:v>
                </c:pt>
                <c:pt idx="11">
                  <c:v>4.3595471388180179E-2</c:v>
                </c:pt>
                <c:pt idx="12">
                  <c:v>4.3582055498424893E-2</c:v>
                </c:pt>
                <c:pt idx="13">
                  <c:v>4.3547770446828067E-2</c:v>
                </c:pt>
                <c:pt idx="14">
                  <c:v>1.8039692058787658E-2</c:v>
                </c:pt>
                <c:pt idx="15">
                  <c:v>1.8026276169032379E-2</c:v>
                </c:pt>
                <c:pt idx="16">
                  <c:v>1.7601439660115157E-2</c:v>
                </c:pt>
                <c:pt idx="17">
                  <c:v>1.7109523702421529E-2</c:v>
                </c:pt>
                <c:pt idx="18">
                  <c:v>1.7109523702421529E-2</c:v>
                </c:pt>
                <c:pt idx="19">
                  <c:v>1.4904845819303732E-2</c:v>
                </c:pt>
                <c:pt idx="20">
                  <c:v>1.4904845819303732E-2</c:v>
                </c:pt>
                <c:pt idx="21">
                  <c:v>1.3090719393506325E-2</c:v>
                </c:pt>
                <c:pt idx="22">
                  <c:v>1.1351125688571592E-2</c:v>
                </c:pt>
                <c:pt idx="23">
                  <c:v>1.1351125688571592E-2</c:v>
                </c:pt>
                <c:pt idx="24">
                  <c:v>1.1351125688571592E-2</c:v>
                </c:pt>
                <c:pt idx="25">
                  <c:v>7.2622606220454841E-3</c:v>
                </c:pt>
                <c:pt idx="26">
                  <c:v>6.8538213117180433E-3</c:v>
                </c:pt>
                <c:pt idx="27">
                  <c:v>6.3946997512039916E-3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E-4F57-98DA-93EF12E0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464480"/>
        <c:axId val="1"/>
      </c:scatterChart>
      <c:valAx>
        <c:axId val="72346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129165672473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46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7881969299292"/>
          <c:y val="0.91874999999999996"/>
          <c:w val="0.736364749860812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</xdr:rowOff>
    </xdr:from>
    <xdr:to>
      <xdr:col>16</xdr:col>
      <xdr:colOff>142875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442F830-45AE-A497-6937-0BF227B28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sfs/BAVM_link.php?BAVMnr=99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8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50</v>
      </c>
    </row>
    <row r="2" spans="1:5" x14ac:dyDescent="0.2">
      <c r="A2" t="s">
        <v>24</v>
      </c>
      <c r="B2" s="13" t="s">
        <v>40</v>
      </c>
    </row>
    <row r="4" spans="1:5" x14ac:dyDescent="0.2">
      <c r="A4" s="7" t="s">
        <v>0</v>
      </c>
      <c r="C4" s="3">
        <v>28755.295999999998</v>
      </c>
      <c r="D4" s="4">
        <v>1.2177439999999999</v>
      </c>
    </row>
    <row r="6" spans="1:5" x14ac:dyDescent="0.2">
      <c r="A6" s="7" t="s">
        <v>1</v>
      </c>
    </row>
    <row r="7" spans="1:5" x14ac:dyDescent="0.2">
      <c r="A7" t="s">
        <v>2</v>
      </c>
      <c r="C7">
        <f>+C4</f>
        <v>28755.295999999998</v>
      </c>
    </row>
    <row r="8" spans="1:5" x14ac:dyDescent="0.2">
      <c r="A8" t="s">
        <v>3</v>
      </c>
      <c r="C8">
        <f>+D4</f>
        <v>1.2177439999999999</v>
      </c>
    </row>
    <row r="9" spans="1:5" x14ac:dyDescent="0.2">
      <c r="A9" s="16" t="s">
        <v>42</v>
      </c>
      <c r="B9" s="17"/>
      <c r="C9" s="18">
        <v>-9.5</v>
      </c>
      <c r="D9" s="17" t="s">
        <v>43</v>
      </c>
      <c r="E9" s="17"/>
    </row>
    <row r="10" spans="1:5" ht="13.5" thickBot="1" x14ac:dyDescent="0.25">
      <c r="A10" s="17"/>
      <c r="B10" s="17"/>
      <c r="C10" s="6" t="s">
        <v>20</v>
      </c>
      <c r="D10" s="6" t="s">
        <v>21</v>
      </c>
      <c r="E10" s="17"/>
    </row>
    <row r="11" spans="1:5" x14ac:dyDescent="0.2">
      <c r="A11" s="17" t="s">
        <v>16</v>
      </c>
      <c r="B11" s="17"/>
      <c r="C11" s="17">
        <f>INTERCEPT(G21:G998,F21:F998)</f>
        <v>4.4384027574907232E-2</v>
      </c>
      <c r="D11" s="5"/>
      <c r="E11" s="17"/>
    </row>
    <row r="12" spans="1:5" x14ac:dyDescent="0.2">
      <c r="A12" s="17" t="s">
        <v>17</v>
      </c>
      <c r="B12" s="17"/>
      <c r="C12" s="17">
        <f>SLOPE(G21:G998,F21:F998)</f>
        <v>-1.4906544172534133E-6</v>
      </c>
      <c r="D12" s="5"/>
      <c r="E12" s="17"/>
    </row>
    <row r="13" spans="1:5" x14ac:dyDescent="0.2">
      <c r="A13" s="17" t="s">
        <v>19</v>
      </c>
      <c r="B13" s="17"/>
      <c r="C13" s="5" t="s">
        <v>14</v>
      </c>
      <c r="D13" s="5"/>
      <c r="E13" s="17"/>
    </row>
    <row r="14" spans="1:5" x14ac:dyDescent="0.2">
      <c r="A14" s="17"/>
      <c r="B14" s="17"/>
      <c r="C14" s="17"/>
      <c r="D14" s="17"/>
      <c r="E14" s="17"/>
    </row>
    <row r="15" spans="1:5" x14ac:dyDescent="0.2">
      <c r="A15" s="19" t="s">
        <v>18</v>
      </c>
      <c r="B15" s="17"/>
      <c r="C15" s="20">
        <f>(C7+C11)+(C8+C12)*INT(MAX(F21:F3533))</f>
        <v>59789.508234699751</v>
      </c>
      <c r="D15" s="21" t="s">
        <v>44</v>
      </c>
      <c r="E15" s="22">
        <f ca="1">TODAY()+15018.5-B9/24</f>
        <v>59968.5</v>
      </c>
    </row>
    <row r="16" spans="1:5" x14ac:dyDescent="0.2">
      <c r="A16" s="23" t="s">
        <v>4</v>
      </c>
      <c r="B16" s="17"/>
      <c r="C16" s="24">
        <f>+C8+C12</f>
        <v>1.2177425093455827</v>
      </c>
      <c r="D16" s="21" t="s">
        <v>45</v>
      </c>
      <c r="E16" s="22">
        <f ca="1">ROUND(2*(E15-C15)/C16,0)/2+1</f>
        <v>148</v>
      </c>
    </row>
    <row r="17" spans="1:17" ht="13.5" thickBot="1" x14ac:dyDescent="0.25">
      <c r="A17" s="21" t="s">
        <v>41</v>
      </c>
      <c r="B17" s="17"/>
      <c r="C17" s="17">
        <f>COUNT(C21:C2191)</f>
        <v>28</v>
      </c>
      <c r="D17" s="21" t="s">
        <v>46</v>
      </c>
      <c r="E17" s="25">
        <f ca="1">+C15+C16*E16-15018.5-C9/24</f>
        <v>44951.629959416234</v>
      </c>
    </row>
    <row r="18" spans="1:17" x14ac:dyDescent="0.2">
      <c r="A18" s="23" t="s">
        <v>5</v>
      </c>
      <c r="B18" s="17"/>
      <c r="C18" s="26">
        <f>+C15</f>
        <v>59789.508234699751</v>
      </c>
      <c r="D18" s="27">
        <f>+C16</f>
        <v>1.2177425093455827</v>
      </c>
      <c r="E18" s="28" t="s">
        <v>47</v>
      </c>
    </row>
    <row r="19" spans="1:17" ht="13.5" thickTop="1" x14ac:dyDescent="0.2">
      <c r="C19" s="12"/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37</v>
      </c>
      <c r="J20" s="9" t="s">
        <v>38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46" t="s">
        <v>67</v>
      </c>
      <c r="B21" s="47" t="s">
        <v>34</v>
      </c>
      <c r="C21" s="48">
        <v>27902.948</v>
      </c>
      <c r="D21" s="29"/>
      <c r="E21">
        <f t="shared" ref="E21:E45" si="0">+(C21-C$7)/C$8</f>
        <v>-699.94021731989494</v>
      </c>
      <c r="F21">
        <f t="shared" ref="F21:F47" si="1">ROUND(2*E21,0)/2</f>
        <v>-700</v>
      </c>
      <c r="G21">
        <f t="shared" ref="G21:G45" si="2">+C21-(C$7+F21*C$8)</f>
        <v>7.2800000001734588E-2</v>
      </c>
      <c r="L21">
        <f>+G21</f>
        <v>7.2800000001734588E-2</v>
      </c>
      <c r="O21">
        <f t="shared" ref="O21:O45" si="3">+C$11+C$12*$F21</f>
        <v>4.5427485666984624E-2</v>
      </c>
      <c r="Q21" s="2">
        <f t="shared" ref="Q21:Q45" si="4">+C21-15018.5</f>
        <v>12884.448</v>
      </c>
    </row>
    <row r="22" spans="1:17" x14ac:dyDescent="0.2">
      <c r="A22" s="46" t="s">
        <v>67</v>
      </c>
      <c r="B22" s="47" t="s">
        <v>34</v>
      </c>
      <c r="C22" s="48">
        <v>27957.754000000001</v>
      </c>
      <c r="D22" s="29"/>
      <c r="E22">
        <f t="shared" si="0"/>
        <v>-654.93404196612562</v>
      </c>
      <c r="F22">
        <f t="shared" si="1"/>
        <v>-655</v>
      </c>
      <c r="G22">
        <f t="shared" si="2"/>
        <v>8.0320000000938307E-2</v>
      </c>
      <c r="L22">
        <f>+G22</f>
        <v>8.0320000000938307E-2</v>
      </c>
      <c r="O22">
        <f t="shared" si="3"/>
        <v>4.5360406218208221E-2</v>
      </c>
      <c r="Q22" s="2">
        <f t="shared" si="4"/>
        <v>12939.254000000001</v>
      </c>
    </row>
    <row r="23" spans="1:17" x14ac:dyDescent="0.2">
      <c r="A23" s="46" t="s">
        <v>67</v>
      </c>
      <c r="B23" s="47" t="s">
        <v>34</v>
      </c>
      <c r="C23" s="48">
        <v>27963.821</v>
      </c>
      <c r="D23" s="14"/>
      <c r="E23">
        <f t="shared" si="0"/>
        <v>-649.95187822727814</v>
      </c>
      <c r="F23">
        <f t="shared" si="1"/>
        <v>-650</v>
      </c>
      <c r="G23">
        <f t="shared" si="2"/>
        <v>5.8600000000296859E-2</v>
      </c>
      <c r="L23">
        <f>+G23</f>
        <v>5.8600000000296859E-2</v>
      </c>
      <c r="O23">
        <f t="shared" si="3"/>
        <v>4.5352952946121954E-2</v>
      </c>
      <c r="Q23" s="2">
        <f t="shared" si="4"/>
        <v>12945.321</v>
      </c>
    </row>
    <row r="24" spans="1:17" x14ac:dyDescent="0.2">
      <c r="A24" s="46" t="s">
        <v>67</v>
      </c>
      <c r="B24" s="47" t="s">
        <v>34</v>
      </c>
      <c r="C24" s="48">
        <v>27984.511999999999</v>
      </c>
      <c r="D24" s="14"/>
      <c r="E24">
        <f t="shared" si="0"/>
        <v>-632.96062226543484</v>
      </c>
      <c r="F24">
        <f t="shared" si="1"/>
        <v>-633</v>
      </c>
      <c r="G24">
        <f t="shared" si="2"/>
        <v>4.7952000000805128E-2</v>
      </c>
      <c r="L24">
        <f>+G24</f>
        <v>4.7952000000805128E-2</v>
      </c>
      <c r="O24">
        <f t="shared" si="3"/>
        <v>4.5327611821028645E-2</v>
      </c>
      <c r="Q24" s="2">
        <f t="shared" si="4"/>
        <v>12966.011999999999</v>
      </c>
    </row>
    <row r="25" spans="1:17" x14ac:dyDescent="0.2">
      <c r="A25" s="46" t="s">
        <v>67</v>
      </c>
      <c r="B25" s="47" t="s">
        <v>34</v>
      </c>
      <c r="C25" s="48">
        <v>28013.741000000002</v>
      </c>
      <c r="D25" s="14"/>
      <c r="E25">
        <f t="shared" si="0"/>
        <v>-608.95804044199497</v>
      </c>
      <c r="F25">
        <f t="shared" si="1"/>
        <v>-609</v>
      </c>
      <c r="G25">
        <f t="shared" si="2"/>
        <v>5.1096000002871733E-2</v>
      </c>
      <c r="L25">
        <f>+G25</f>
        <v>5.1096000002871733E-2</v>
      </c>
      <c r="O25">
        <f t="shared" si="3"/>
        <v>4.5291836115014562E-2</v>
      </c>
      <c r="Q25" s="2">
        <f t="shared" si="4"/>
        <v>12995.241000000002</v>
      </c>
    </row>
    <row r="26" spans="1:17" x14ac:dyDescent="0.2">
      <c r="A26" t="s">
        <v>12</v>
      </c>
      <c r="C26" s="29">
        <v>28755.295999999998</v>
      </c>
      <c r="D26" s="29" t="s">
        <v>14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si="3"/>
        <v>4.4384027574907232E-2</v>
      </c>
      <c r="Q26" s="2">
        <f t="shared" si="4"/>
        <v>13736.795999999998</v>
      </c>
    </row>
    <row r="27" spans="1:17" x14ac:dyDescent="0.2">
      <c r="A27" s="46" t="s">
        <v>67</v>
      </c>
      <c r="B27" s="47" t="s">
        <v>34</v>
      </c>
      <c r="C27" s="48">
        <v>28755.355</v>
      </c>
      <c r="D27" s="14"/>
      <c r="E27">
        <f t="shared" si="0"/>
        <v>4.8450248985916537E-2</v>
      </c>
      <c r="F27">
        <f t="shared" si="1"/>
        <v>0</v>
      </c>
      <c r="G27">
        <f t="shared" si="2"/>
        <v>5.9000000001105946E-2</v>
      </c>
      <c r="L27">
        <f t="shared" ref="L27:L34" si="5">+G27</f>
        <v>5.9000000001105946E-2</v>
      </c>
      <c r="O27">
        <f t="shared" si="3"/>
        <v>4.4384027574907232E-2</v>
      </c>
      <c r="Q27" s="2">
        <f t="shared" si="4"/>
        <v>13736.855</v>
      </c>
    </row>
    <row r="28" spans="1:17" x14ac:dyDescent="0.2">
      <c r="A28" s="46" t="s">
        <v>67</v>
      </c>
      <c r="B28" s="47" t="s">
        <v>34</v>
      </c>
      <c r="C28" s="48">
        <v>28833.29</v>
      </c>
      <c r="D28" s="14"/>
      <c r="E28">
        <f t="shared" si="0"/>
        <v>64.047944395539972</v>
      </c>
      <c r="F28">
        <f t="shared" si="1"/>
        <v>64</v>
      </c>
      <c r="G28">
        <f t="shared" si="2"/>
        <v>5.8384000003570691E-2</v>
      </c>
      <c r="L28">
        <f t="shared" si="5"/>
        <v>5.8384000003570691E-2</v>
      </c>
      <c r="O28">
        <f t="shared" si="3"/>
        <v>4.4288625692203015E-2</v>
      </c>
      <c r="Q28" s="2">
        <f t="shared" si="4"/>
        <v>13814.79</v>
      </c>
    </row>
    <row r="29" spans="1:17" x14ac:dyDescent="0.2">
      <c r="A29" s="46" t="s">
        <v>67</v>
      </c>
      <c r="B29" s="47" t="s">
        <v>34</v>
      </c>
      <c r="C29" s="48">
        <v>29074.359</v>
      </c>
      <c r="D29" s="14"/>
      <c r="E29">
        <f t="shared" si="0"/>
        <v>262.01155579497987</v>
      </c>
      <c r="F29">
        <f t="shared" si="1"/>
        <v>262</v>
      </c>
      <c r="G29">
        <f t="shared" si="2"/>
        <v>1.4072000001760898E-2</v>
      </c>
      <c r="L29">
        <f t="shared" si="5"/>
        <v>1.4072000001760898E-2</v>
      </c>
      <c r="O29">
        <f t="shared" si="3"/>
        <v>4.399347611758684E-2</v>
      </c>
      <c r="Q29" s="2">
        <f t="shared" si="4"/>
        <v>14055.859</v>
      </c>
    </row>
    <row r="30" spans="1:17" x14ac:dyDescent="0.2">
      <c r="A30" s="46" t="s">
        <v>67</v>
      </c>
      <c r="B30" s="47" t="s">
        <v>34</v>
      </c>
      <c r="C30" s="48">
        <v>29108.484</v>
      </c>
      <c r="D30" s="14"/>
      <c r="E30">
        <f t="shared" si="0"/>
        <v>290.03468709351222</v>
      </c>
      <c r="F30">
        <f t="shared" si="1"/>
        <v>290</v>
      </c>
      <c r="G30">
        <f t="shared" si="2"/>
        <v>4.2240000002493616E-2</v>
      </c>
      <c r="L30">
        <f t="shared" si="5"/>
        <v>4.2240000002493616E-2</v>
      </c>
      <c r="O30">
        <f t="shared" si="3"/>
        <v>4.3951737793903746E-2</v>
      </c>
      <c r="Q30" s="2">
        <f t="shared" si="4"/>
        <v>14089.984</v>
      </c>
    </row>
    <row r="31" spans="1:17" x14ac:dyDescent="0.2">
      <c r="A31" s="46" t="s">
        <v>67</v>
      </c>
      <c r="B31" s="47" t="s">
        <v>34</v>
      </c>
      <c r="C31" s="48">
        <v>29141.341</v>
      </c>
      <c r="D31" s="14"/>
      <c r="E31">
        <f t="shared" si="0"/>
        <v>317.01654863419725</v>
      </c>
      <c r="F31">
        <f t="shared" si="1"/>
        <v>317</v>
      </c>
      <c r="G31">
        <f t="shared" si="2"/>
        <v>2.0152000000962289E-2</v>
      </c>
      <c r="L31">
        <f t="shared" si="5"/>
        <v>2.0152000000962289E-2</v>
      </c>
      <c r="O31">
        <f t="shared" si="3"/>
        <v>4.3911490124637902E-2</v>
      </c>
      <c r="Q31" s="2">
        <f t="shared" si="4"/>
        <v>14122.841</v>
      </c>
    </row>
    <row r="32" spans="1:17" x14ac:dyDescent="0.2">
      <c r="A32" s="46" t="s">
        <v>67</v>
      </c>
      <c r="B32" s="47" t="s">
        <v>34</v>
      </c>
      <c r="C32" s="48">
        <v>29399.545999999998</v>
      </c>
      <c r="D32" s="14"/>
      <c r="E32">
        <f t="shared" si="0"/>
        <v>529.05208319646829</v>
      </c>
      <c r="F32">
        <f t="shared" si="1"/>
        <v>529</v>
      </c>
      <c r="G32">
        <f t="shared" si="2"/>
        <v>6.3423999999940861E-2</v>
      </c>
      <c r="L32">
        <f t="shared" si="5"/>
        <v>6.3423999999940861E-2</v>
      </c>
      <c r="O32">
        <f t="shared" si="3"/>
        <v>4.3595471388180179E-2</v>
      </c>
      <c r="Q32" s="2">
        <f t="shared" si="4"/>
        <v>14381.045999999998</v>
      </c>
    </row>
    <row r="33" spans="1:31" x14ac:dyDescent="0.2">
      <c r="A33" s="46" t="s">
        <v>67</v>
      </c>
      <c r="B33" s="47" t="s">
        <v>34</v>
      </c>
      <c r="C33" s="48">
        <v>29410.467000000001</v>
      </c>
      <c r="D33" s="14"/>
      <c r="E33">
        <f t="shared" si="0"/>
        <v>538.02030640266105</v>
      </c>
      <c r="F33">
        <f t="shared" si="1"/>
        <v>538</v>
      </c>
      <c r="G33">
        <f t="shared" si="2"/>
        <v>2.4728000000322936E-2</v>
      </c>
      <c r="L33">
        <f t="shared" si="5"/>
        <v>2.4728000000322936E-2</v>
      </c>
      <c r="O33">
        <f t="shared" si="3"/>
        <v>4.3582055498424893E-2</v>
      </c>
      <c r="Q33" s="2">
        <f t="shared" si="4"/>
        <v>14391.967000000001</v>
      </c>
    </row>
    <row r="34" spans="1:31" x14ac:dyDescent="0.2">
      <c r="A34" s="46" t="s">
        <v>67</v>
      </c>
      <c r="B34" s="47" t="s">
        <v>34</v>
      </c>
      <c r="C34" s="48">
        <v>29438.468000000001</v>
      </c>
      <c r="D34" s="14"/>
      <c r="E34">
        <f t="shared" si="0"/>
        <v>561.01446609468189</v>
      </c>
      <c r="F34">
        <f t="shared" si="1"/>
        <v>561</v>
      </c>
      <c r="G34">
        <f t="shared" si="2"/>
        <v>1.7616000000998611E-2</v>
      </c>
      <c r="L34">
        <f t="shared" si="5"/>
        <v>1.7616000000998611E-2</v>
      </c>
      <c r="O34">
        <f t="shared" si="3"/>
        <v>4.3547770446828067E-2</v>
      </c>
      <c r="Q34" s="2">
        <f t="shared" si="4"/>
        <v>14419.968000000001</v>
      </c>
    </row>
    <row r="35" spans="1:31" x14ac:dyDescent="0.2">
      <c r="A35" t="s">
        <v>29</v>
      </c>
      <c r="C35" s="29">
        <v>50276.500999999997</v>
      </c>
      <c r="D35" s="29">
        <v>8.0000000000000002E-3</v>
      </c>
      <c r="E35">
        <f t="shared" si="0"/>
        <v>17673.01255436282</v>
      </c>
      <c r="F35">
        <f t="shared" si="1"/>
        <v>17673</v>
      </c>
      <c r="G35">
        <f t="shared" si="2"/>
        <v>1.5288000002328772E-2</v>
      </c>
      <c r="I35">
        <f>+G35</f>
        <v>1.5288000002328772E-2</v>
      </c>
      <c r="O35">
        <f t="shared" si="3"/>
        <v>1.8039692058787658E-2</v>
      </c>
      <c r="Q35" s="2">
        <f t="shared" si="4"/>
        <v>35258.000999999997</v>
      </c>
      <c r="AA35">
        <v>12</v>
      </c>
      <c r="AC35" t="s">
        <v>28</v>
      </c>
      <c r="AE35" t="s">
        <v>30</v>
      </c>
    </row>
    <row r="36" spans="1:31" x14ac:dyDescent="0.2">
      <c r="A36" t="s">
        <v>36</v>
      </c>
      <c r="C36" s="29">
        <v>50287.476499999997</v>
      </c>
      <c r="D36" s="29" t="s">
        <v>14</v>
      </c>
      <c r="E36">
        <f t="shared" si="0"/>
        <v>17682.025532460026</v>
      </c>
      <c r="F36">
        <f t="shared" si="1"/>
        <v>17682</v>
      </c>
      <c r="G36">
        <f t="shared" si="2"/>
        <v>3.1091999997443054E-2</v>
      </c>
      <c r="J36">
        <f>+G36</f>
        <v>3.1091999997443054E-2</v>
      </c>
      <c r="O36">
        <f t="shared" si="3"/>
        <v>1.8026276169032379E-2</v>
      </c>
      <c r="Q36" s="2">
        <f t="shared" si="4"/>
        <v>35268.976499999997</v>
      </c>
    </row>
    <row r="37" spans="1:31" x14ac:dyDescent="0.2">
      <c r="A37" t="s">
        <v>32</v>
      </c>
      <c r="C37" s="29">
        <v>50634.512000000002</v>
      </c>
      <c r="D37" s="29">
        <v>5.0000000000000001E-3</v>
      </c>
      <c r="E37">
        <f t="shared" si="0"/>
        <v>17967.007844013195</v>
      </c>
      <c r="F37">
        <f t="shared" si="1"/>
        <v>17967</v>
      </c>
      <c r="G37">
        <f t="shared" si="2"/>
        <v>9.5520000031683594E-3</v>
      </c>
      <c r="I37">
        <f>+G37</f>
        <v>9.5520000031683594E-3</v>
      </c>
      <c r="O37">
        <f t="shared" si="3"/>
        <v>1.7601439660115157E-2</v>
      </c>
      <c r="Q37" s="2">
        <f t="shared" si="4"/>
        <v>35616.012000000002</v>
      </c>
      <c r="AA37">
        <v>14</v>
      </c>
      <c r="AC37" t="s">
        <v>31</v>
      </c>
      <c r="AE37" t="s">
        <v>30</v>
      </c>
    </row>
    <row r="38" spans="1:31" x14ac:dyDescent="0.2">
      <c r="A38" t="s">
        <v>33</v>
      </c>
      <c r="B38" s="5" t="s">
        <v>34</v>
      </c>
      <c r="C38" s="29">
        <v>51036.386500000001</v>
      </c>
      <c r="D38" s="29">
        <v>3.0000000000000001E-3</v>
      </c>
      <c r="E38">
        <f t="shared" si="0"/>
        <v>18297.023430211935</v>
      </c>
      <c r="F38">
        <f t="shared" si="1"/>
        <v>18297</v>
      </c>
      <c r="G38">
        <f t="shared" si="2"/>
        <v>2.8532000003906433E-2</v>
      </c>
      <c r="J38">
        <f>+G38</f>
        <v>2.8532000003906433E-2</v>
      </c>
      <c r="O38">
        <f t="shared" si="3"/>
        <v>1.7109523702421529E-2</v>
      </c>
      <c r="Q38" s="2">
        <f t="shared" si="4"/>
        <v>36017.886500000001</v>
      </c>
    </row>
    <row r="39" spans="1:31" x14ac:dyDescent="0.2">
      <c r="A39" t="s">
        <v>35</v>
      </c>
      <c r="B39" s="5" t="s">
        <v>34</v>
      </c>
      <c r="C39" s="29">
        <v>51036.387900000002</v>
      </c>
      <c r="D39" s="29">
        <v>4.0000000000000002E-4</v>
      </c>
      <c r="E39">
        <f t="shared" si="0"/>
        <v>18297.02457987886</v>
      </c>
      <c r="F39">
        <f t="shared" si="1"/>
        <v>18297</v>
      </c>
      <c r="G39">
        <f t="shared" si="2"/>
        <v>2.9932000004919246E-2</v>
      </c>
      <c r="J39">
        <f>+G39</f>
        <v>2.9932000004919246E-2</v>
      </c>
      <c r="O39">
        <f t="shared" si="3"/>
        <v>1.7109523702421529E-2</v>
      </c>
      <c r="Q39" s="2">
        <f t="shared" si="4"/>
        <v>36017.887900000002</v>
      </c>
    </row>
    <row r="40" spans="1:31" x14ac:dyDescent="0.2">
      <c r="A40" s="10" t="s">
        <v>39</v>
      </c>
      <c r="B40" s="11" t="s">
        <v>34</v>
      </c>
      <c r="C40" s="10">
        <v>52837.425499999998</v>
      </c>
      <c r="D40" s="15">
        <v>3.7000000000000002E-3</v>
      </c>
      <c r="E40">
        <f t="shared" si="0"/>
        <v>19776.0198366816</v>
      </c>
      <c r="F40">
        <f t="shared" si="1"/>
        <v>19776</v>
      </c>
      <c r="G40">
        <f t="shared" si="2"/>
        <v>2.4155999999493361E-2</v>
      </c>
      <c r="J40">
        <f>+G40</f>
        <v>2.4155999999493361E-2</v>
      </c>
      <c r="O40">
        <f t="shared" si="3"/>
        <v>1.4904845819303732E-2</v>
      </c>
      <c r="Q40" s="2">
        <f t="shared" si="4"/>
        <v>37818.925499999998</v>
      </c>
    </row>
    <row r="41" spans="1:31" x14ac:dyDescent="0.2">
      <c r="A41" s="10" t="s">
        <v>39</v>
      </c>
      <c r="B41" s="11" t="s">
        <v>34</v>
      </c>
      <c r="C41" s="10">
        <v>52837.425499999998</v>
      </c>
      <c r="D41" s="10">
        <v>3.7000000000000002E-3</v>
      </c>
      <c r="E41">
        <f t="shared" si="0"/>
        <v>19776.0198366816</v>
      </c>
      <c r="F41">
        <f t="shared" si="1"/>
        <v>19776</v>
      </c>
      <c r="G41">
        <f t="shared" si="2"/>
        <v>2.4155999999493361E-2</v>
      </c>
      <c r="J41">
        <f>+G41</f>
        <v>2.4155999999493361E-2</v>
      </c>
      <c r="O41">
        <f t="shared" si="3"/>
        <v>1.4904845819303732E-2</v>
      </c>
      <c r="Q41" s="2">
        <f t="shared" si="4"/>
        <v>37818.925499999998</v>
      </c>
    </row>
    <row r="42" spans="1:31" x14ac:dyDescent="0.2">
      <c r="A42" s="46" t="s">
        <v>141</v>
      </c>
      <c r="B42" s="47" t="s">
        <v>34</v>
      </c>
      <c r="C42" s="48">
        <v>54319.412700000001</v>
      </c>
      <c r="D42" s="14"/>
      <c r="E42">
        <f t="shared" si="0"/>
        <v>20993.013884691696</v>
      </c>
      <c r="F42">
        <f t="shared" si="1"/>
        <v>20993</v>
      </c>
      <c r="G42">
        <f t="shared" si="2"/>
        <v>1.6908000005059876E-2</v>
      </c>
      <c r="L42">
        <f>+G42</f>
        <v>1.6908000005059876E-2</v>
      </c>
      <c r="O42">
        <f t="shared" si="3"/>
        <v>1.3090719393506325E-2</v>
      </c>
      <c r="Q42" s="2">
        <f t="shared" si="4"/>
        <v>39300.912700000001</v>
      </c>
    </row>
    <row r="43" spans="1:31" x14ac:dyDescent="0.2">
      <c r="A43" s="30" t="s">
        <v>48</v>
      </c>
      <c r="B43" s="31" t="s">
        <v>34</v>
      </c>
      <c r="C43" s="32">
        <v>55740.504610000004</v>
      </c>
      <c r="D43" s="32">
        <v>5.9999999999999995E-4</v>
      </c>
      <c r="E43">
        <f t="shared" si="0"/>
        <v>22160.001289269341</v>
      </c>
      <c r="F43">
        <f t="shared" si="1"/>
        <v>22160</v>
      </c>
      <c r="G43">
        <f t="shared" si="2"/>
        <v>1.5700000076321885E-3</v>
      </c>
      <c r="K43">
        <f>+G43</f>
        <v>1.5700000076321885E-3</v>
      </c>
      <c r="O43">
        <f t="shared" si="3"/>
        <v>1.1351125688571592E-2</v>
      </c>
      <c r="Q43" s="2">
        <f t="shared" si="4"/>
        <v>40722.004610000004</v>
      </c>
    </row>
    <row r="44" spans="1:31" x14ac:dyDescent="0.2">
      <c r="A44" s="30" t="s">
        <v>48</v>
      </c>
      <c r="B44" s="31" t="s">
        <v>34</v>
      </c>
      <c r="C44" s="32">
        <v>55740.505019999997</v>
      </c>
      <c r="D44" s="32">
        <v>5.9999999999999995E-4</v>
      </c>
      <c r="E44">
        <f t="shared" si="0"/>
        <v>22160.00162595751</v>
      </c>
      <c r="F44">
        <f t="shared" si="1"/>
        <v>22160</v>
      </c>
      <c r="G44">
        <f t="shared" si="2"/>
        <v>1.9800000009126961E-3</v>
      </c>
      <c r="K44">
        <f>+G44</f>
        <v>1.9800000009126961E-3</v>
      </c>
      <c r="O44">
        <f t="shared" si="3"/>
        <v>1.1351125688571592E-2</v>
      </c>
      <c r="Q44" s="2">
        <f t="shared" si="4"/>
        <v>40722.005019999997</v>
      </c>
    </row>
    <row r="45" spans="1:31" x14ac:dyDescent="0.2">
      <c r="A45" s="30" t="s">
        <v>48</v>
      </c>
      <c r="B45" s="31" t="s">
        <v>34</v>
      </c>
      <c r="C45" s="32">
        <v>55740.505499999999</v>
      </c>
      <c r="D45" s="32">
        <v>1E-3</v>
      </c>
      <c r="E45">
        <f t="shared" si="0"/>
        <v>22160.002020129028</v>
      </c>
      <c r="F45">
        <f t="shared" si="1"/>
        <v>22160</v>
      </c>
      <c r="G45">
        <f t="shared" si="2"/>
        <v>2.4600000033387914E-3</v>
      </c>
      <c r="K45">
        <f>+G45</f>
        <v>2.4600000033387914E-3</v>
      </c>
      <c r="O45">
        <f t="shared" si="3"/>
        <v>1.1351125688571592E-2</v>
      </c>
      <c r="Q45" s="2">
        <f t="shared" si="4"/>
        <v>40722.005499999999</v>
      </c>
    </row>
    <row r="46" spans="1:31" ht="12" customHeight="1" x14ac:dyDescent="0.2">
      <c r="A46" s="49" t="s">
        <v>154</v>
      </c>
      <c r="B46" s="31" t="s">
        <v>34</v>
      </c>
      <c r="C46" s="32">
        <v>59080.7788</v>
      </c>
      <c r="D46" s="32">
        <v>5.9999999999999995E-4</v>
      </c>
      <c r="E46">
        <f>+(C46-C$7)/C$8</f>
        <v>24903.003258484543</v>
      </c>
      <c r="F46">
        <f t="shared" si="1"/>
        <v>24903</v>
      </c>
      <c r="G46">
        <f>+C46-(C$7+F46*C$8)</f>
        <v>3.9680000045336783E-3</v>
      </c>
      <c r="K46">
        <f>+G46</f>
        <v>3.9680000045336783E-3</v>
      </c>
      <c r="O46">
        <f>+C$11+C$12*$F46</f>
        <v>7.2622606220454841E-3</v>
      </c>
      <c r="Q46" s="2">
        <f>+C46-15018.5</f>
        <v>44062.2788</v>
      </c>
    </row>
    <row r="47" spans="1:31" ht="12" customHeight="1" x14ac:dyDescent="0.2">
      <c r="A47" s="49" t="s">
        <v>155</v>
      </c>
      <c r="B47" s="31" t="s">
        <v>34</v>
      </c>
      <c r="C47" s="32">
        <v>59414.441400000003</v>
      </c>
      <c r="D47" s="32">
        <v>4.0000000000000002E-4</v>
      </c>
      <c r="E47">
        <f>+(C47-C$7)/C$8</f>
        <v>25177.0038694504</v>
      </c>
      <c r="F47">
        <f t="shared" si="1"/>
        <v>25177</v>
      </c>
      <c r="G47">
        <f>+C47-(C$7+F47*C$8)</f>
        <v>4.7120000017457642E-3</v>
      </c>
      <c r="K47">
        <f>+G47</f>
        <v>4.7120000017457642E-3</v>
      </c>
      <c r="O47">
        <f>+C$11+C$12*$F47</f>
        <v>6.8538213117180433E-3</v>
      </c>
      <c r="Q47" s="2">
        <f>+C47-15018.5</f>
        <v>44395.941400000003</v>
      </c>
    </row>
    <row r="48" spans="1:31" ht="12" customHeight="1" x14ac:dyDescent="0.2">
      <c r="A48" s="50" t="s">
        <v>156</v>
      </c>
      <c r="B48" s="51" t="s">
        <v>34</v>
      </c>
      <c r="C48" s="52">
        <v>59789.5049</v>
      </c>
      <c r="D48" s="50">
        <v>5.0000000000000001E-4</v>
      </c>
      <c r="E48">
        <f>+(C48-C$7)/C$8</f>
        <v>25485.002512843424</v>
      </c>
      <c r="F48">
        <f t="shared" ref="F48" si="6">ROUND(2*E48,0)/2</f>
        <v>25485</v>
      </c>
      <c r="G48">
        <f>+C48-(C$7+F48*C$8)</f>
        <v>3.0600000027334318E-3</v>
      </c>
      <c r="K48">
        <f>+G48</f>
        <v>3.0600000027334318E-3</v>
      </c>
      <c r="O48">
        <f>+C$11+C$12*$F48</f>
        <v>6.3946997512039916E-3</v>
      </c>
      <c r="Q48" s="2">
        <f>+C48-15018.5</f>
        <v>44771.0049</v>
      </c>
    </row>
    <row r="49" spans="3:4" ht="12" customHeight="1" x14ac:dyDescent="0.2">
      <c r="C49" s="14"/>
      <c r="D49" s="14"/>
    </row>
    <row r="50" spans="3:4" ht="12" customHeight="1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20" sqref="A20:C33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3" t="s">
        <v>51</v>
      </c>
      <c r="I1" s="34" t="s">
        <v>52</v>
      </c>
      <c r="J1" s="35" t="s">
        <v>53</v>
      </c>
    </row>
    <row r="2" spans="1:16" x14ac:dyDescent="0.2">
      <c r="I2" s="36" t="s">
        <v>54</v>
      </c>
      <c r="J2" s="37" t="s">
        <v>55</v>
      </c>
    </row>
    <row r="3" spans="1:16" x14ac:dyDescent="0.2">
      <c r="A3" s="38" t="s">
        <v>56</v>
      </c>
      <c r="I3" s="36" t="s">
        <v>57</v>
      </c>
      <c r="J3" s="37" t="s">
        <v>58</v>
      </c>
    </row>
    <row r="4" spans="1:16" x14ac:dyDescent="0.2">
      <c r="I4" s="36" t="s">
        <v>59</v>
      </c>
      <c r="J4" s="37" t="s">
        <v>58</v>
      </c>
    </row>
    <row r="5" spans="1:16" ht="13.5" thickBot="1" x14ac:dyDescent="0.25">
      <c r="I5" s="39" t="s">
        <v>60</v>
      </c>
      <c r="J5" s="40" t="s">
        <v>61</v>
      </c>
    </row>
    <row r="10" spans="1:16" ht="13.5" thickBot="1" x14ac:dyDescent="0.25"/>
    <row r="11" spans="1:16" ht="12.75" customHeight="1" thickBot="1" x14ac:dyDescent="0.25">
      <c r="A11" s="14" t="str">
        <f t="shared" ref="A11:A33" si="0">P11</f>
        <v> BBS 112 </v>
      </c>
      <c r="B11" s="5" t="str">
        <f t="shared" ref="B11:B33" si="1">IF(H11=INT(H11),"I","II")</f>
        <v>I</v>
      </c>
      <c r="C11" s="14">
        <f t="shared" ref="C11:C33" si="2">1*G11</f>
        <v>50276.500999999997</v>
      </c>
      <c r="D11" s="17" t="str">
        <f t="shared" ref="D11:D33" si="3">VLOOKUP(F11,I$1:J$5,2,FALSE)</f>
        <v>vis</v>
      </c>
      <c r="E11" s="41">
        <f>VLOOKUP(C11,Active!C$21:E$973,3,FALSE)</f>
        <v>17673.01255436282</v>
      </c>
      <c r="F11" s="5" t="s">
        <v>60</v>
      </c>
      <c r="G11" s="17" t="str">
        <f t="shared" ref="G11:G33" si="4">MID(I11,3,LEN(I11)-3)</f>
        <v>50276.501</v>
      </c>
      <c r="H11" s="14">
        <f t="shared" ref="H11:H33" si="5">1*K11</f>
        <v>17674</v>
      </c>
      <c r="I11" s="42" t="s">
        <v>103</v>
      </c>
      <c r="J11" s="43" t="s">
        <v>104</v>
      </c>
      <c r="K11" s="42">
        <v>17674</v>
      </c>
      <c r="L11" s="42" t="s">
        <v>105</v>
      </c>
      <c r="M11" s="43" t="s">
        <v>106</v>
      </c>
      <c r="N11" s="43"/>
      <c r="O11" s="44" t="s">
        <v>107</v>
      </c>
      <c r="P11" s="44" t="s">
        <v>108</v>
      </c>
    </row>
    <row r="12" spans="1:16" ht="12.75" customHeight="1" thickBot="1" x14ac:dyDescent="0.25">
      <c r="A12" s="14" t="str">
        <f t="shared" si="0"/>
        <v>BAVM 99 </v>
      </c>
      <c r="B12" s="5" t="str">
        <f t="shared" si="1"/>
        <v>I</v>
      </c>
      <c r="C12" s="14">
        <f t="shared" si="2"/>
        <v>50287.476499999997</v>
      </c>
      <c r="D12" s="17" t="str">
        <f t="shared" si="3"/>
        <v>vis</v>
      </c>
      <c r="E12" s="41">
        <f>VLOOKUP(C12,Active!C$21:E$973,3,FALSE)</f>
        <v>17682.025532460026</v>
      </c>
      <c r="F12" s="5" t="s">
        <v>60</v>
      </c>
      <c r="G12" s="17" t="str">
        <f t="shared" si="4"/>
        <v>50287.4765</v>
      </c>
      <c r="H12" s="14">
        <f t="shared" si="5"/>
        <v>17683</v>
      </c>
      <c r="I12" s="42" t="s">
        <v>109</v>
      </c>
      <c r="J12" s="43" t="s">
        <v>110</v>
      </c>
      <c r="K12" s="42">
        <v>17683</v>
      </c>
      <c r="L12" s="42" t="s">
        <v>111</v>
      </c>
      <c r="M12" s="43" t="s">
        <v>112</v>
      </c>
      <c r="N12" s="43" t="s">
        <v>113</v>
      </c>
      <c r="O12" s="44" t="s">
        <v>114</v>
      </c>
      <c r="P12" s="45" t="s">
        <v>115</v>
      </c>
    </row>
    <row r="13" spans="1:16" ht="12.75" customHeight="1" thickBot="1" x14ac:dyDescent="0.25">
      <c r="A13" s="14" t="str">
        <f t="shared" si="0"/>
        <v> BBS 116 </v>
      </c>
      <c r="B13" s="5" t="str">
        <f t="shared" si="1"/>
        <v>I</v>
      </c>
      <c r="C13" s="14">
        <f t="shared" si="2"/>
        <v>50634.512000000002</v>
      </c>
      <c r="D13" s="17" t="str">
        <f t="shared" si="3"/>
        <v>vis</v>
      </c>
      <c r="E13" s="41">
        <f>VLOOKUP(C13,Active!C$21:E$973,3,FALSE)</f>
        <v>17967.007844013195</v>
      </c>
      <c r="F13" s="5" t="s">
        <v>60</v>
      </c>
      <c r="G13" s="17" t="str">
        <f t="shared" si="4"/>
        <v>50634.512</v>
      </c>
      <c r="H13" s="14">
        <f t="shared" si="5"/>
        <v>17968</v>
      </c>
      <c r="I13" s="42" t="s">
        <v>116</v>
      </c>
      <c r="J13" s="43" t="s">
        <v>117</v>
      </c>
      <c r="K13" s="42">
        <v>17968</v>
      </c>
      <c r="L13" s="42" t="s">
        <v>118</v>
      </c>
      <c r="M13" s="43" t="s">
        <v>106</v>
      </c>
      <c r="N13" s="43"/>
      <c r="O13" s="44" t="s">
        <v>107</v>
      </c>
      <c r="P13" s="44" t="s">
        <v>119</v>
      </c>
    </row>
    <row r="14" spans="1:16" ht="12.75" customHeight="1" thickBot="1" x14ac:dyDescent="0.25">
      <c r="A14" s="14" t="str">
        <f t="shared" si="0"/>
        <v>IBVS 4888 </v>
      </c>
      <c r="B14" s="5" t="str">
        <f t="shared" si="1"/>
        <v>I</v>
      </c>
      <c r="C14" s="14">
        <f t="shared" si="2"/>
        <v>51036.386500000001</v>
      </c>
      <c r="D14" s="17" t="str">
        <f t="shared" si="3"/>
        <v>vis</v>
      </c>
      <c r="E14" s="41">
        <f>VLOOKUP(C14,Active!C$21:E$973,3,FALSE)</f>
        <v>18297.023430211935</v>
      </c>
      <c r="F14" s="5" t="s">
        <v>60</v>
      </c>
      <c r="G14" s="17" t="str">
        <f t="shared" si="4"/>
        <v>51036.3865</v>
      </c>
      <c r="H14" s="14">
        <f t="shared" si="5"/>
        <v>18298</v>
      </c>
      <c r="I14" s="42" t="s">
        <v>120</v>
      </c>
      <c r="J14" s="43" t="s">
        <v>121</v>
      </c>
      <c r="K14" s="42">
        <v>18298</v>
      </c>
      <c r="L14" s="42" t="s">
        <v>122</v>
      </c>
      <c r="M14" s="43" t="s">
        <v>112</v>
      </c>
      <c r="N14" s="43" t="s">
        <v>123</v>
      </c>
      <c r="O14" s="44" t="s">
        <v>124</v>
      </c>
      <c r="P14" s="45" t="s">
        <v>125</v>
      </c>
    </row>
    <row r="15" spans="1:16" ht="12.75" customHeight="1" thickBot="1" x14ac:dyDescent="0.25">
      <c r="A15" s="14" t="str">
        <f t="shared" si="0"/>
        <v>BAVM 118 </v>
      </c>
      <c r="B15" s="5" t="str">
        <f t="shared" si="1"/>
        <v>I</v>
      </c>
      <c r="C15" s="14">
        <f t="shared" si="2"/>
        <v>51036.387900000002</v>
      </c>
      <c r="D15" s="17" t="str">
        <f t="shared" si="3"/>
        <v>vis</v>
      </c>
      <c r="E15" s="41">
        <f>VLOOKUP(C15,Active!C$21:E$973,3,FALSE)</f>
        <v>18297.02457987886</v>
      </c>
      <c r="F15" s="5" t="s">
        <v>60</v>
      </c>
      <c r="G15" s="17" t="str">
        <f t="shared" si="4"/>
        <v>51036.3879</v>
      </c>
      <c r="H15" s="14">
        <f t="shared" si="5"/>
        <v>18298</v>
      </c>
      <c r="I15" s="42" t="s">
        <v>126</v>
      </c>
      <c r="J15" s="43" t="s">
        <v>127</v>
      </c>
      <c r="K15" s="42">
        <v>18298</v>
      </c>
      <c r="L15" s="42" t="s">
        <v>128</v>
      </c>
      <c r="M15" s="43" t="s">
        <v>112</v>
      </c>
      <c r="N15" s="43" t="s">
        <v>113</v>
      </c>
      <c r="O15" s="44" t="s">
        <v>114</v>
      </c>
      <c r="P15" s="45" t="s">
        <v>129</v>
      </c>
    </row>
    <row r="16" spans="1:16" ht="12.75" customHeight="1" thickBot="1" x14ac:dyDescent="0.25">
      <c r="A16" s="14" t="str">
        <f t="shared" si="0"/>
        <v>IBVS 5583 </v>
      </c>
      <c r="B16" s="5" t="str">
        <f t="shared" si="1"/>
        <v>I</v>
      </c>
      <c r="C16" s="14">
        <f t="shared" si="2"/>
        <v>52837.425499999998</v>
      </c>
      <c r="D16" s="17" t="str">
        <f t="shared" si="3"/>
        <v>vis</v>
      </c>
      <c r="E16" s="41">
        <f>VLOOKUP(C16,Active!C$21:E$973,3,FALSE)</f>
        <v>19776.0198366816</v>
      </c>
      <c r="F16" s="5" t="s">
        <v>60</v>
      </c>
      <c r="G16" s="17" t="str">
        <f t="shared" si="4"/>
        <v>52837.4255</v>
      </c>
      <c r="H16" s="14">
        <f t="shared" si="5"/>
        <v>19777</v>
      </c>
      <c r="I16" s="42" t="s">
        <v>130</v>
      </c>
      <c r="J16" s="43" t="s">
        <v>131</v>
      </c>
      <c r="K16" s="42">
        <v>19777</v>
      </c>
      <c r="L16" s="42" t="s">
        <v>132</v>
      </c>
      <c r="M16" s="43" t="s">
        <v>112</v>
      </c>
      <c r="N16" s="43" t="s">
        <v>123</v>
      </c>
      <c r="O16" s="44" t="s">
        <v>133</v>
      </c>
      <c r="P16" s="45" t="s">
        <v>134</v>
      </c>
    </row>
    <row r="17" spans="1:16" ht="12.75" customHeight="1" thickBot="1" x14ac:dyDescent="0.25">
      <c r="A17" s="14" t="str">
        <f t="shared" si="0"/>
        <v>OEJV 0160 </v>
      </c>
      <c r="B17" s="5" t="str">
        <f t="shared" si="1"/>
        <v>I</v>
      </c>
      <c r="C17" s="14">
        <f t="shared" si="2"/>
        <v>55740.504610000004</v>
      </c>
      <c r="D17" s="17" t="str">
        <f t="shared" si="3"/>
        <v>vis</v>
      </c>
      <c r="E17" s="41">
        <f>VLOOKUP(C17,Active!C$21:E$973,3,FALSE)</f>
        <v>22160.001289269341</v>
      </c>
      <c r="F17" s="5" t="s">
        <v>60</v>
      </c>
      <c r="G17" s="17" t="str">
        <f t="shared" si="4"/>
        <v>55740.50461</v>
      </c>
      <c r="H17" s="14">
        <f t="shared" si="5"/>
        <v>22161</v>
      </c>
      <c r="I17" s="42" t="s">
        <v>142</v>
      </c>
      <c r="J17" s="43" t="s">
        <v>143</v>
      </c>
      <c r="K17" s="42" t="s">
        <v>144</v>
      </c>
      <c r="L17" s="42" t="s">
        <v>145</v>
      </c>
      <c r="M17" s="43" t="s">
        <v>138</v>
      </c>
      <c r="N17" s="43" t="s">
        <v>146</v>
      </c>
      <c r="O17" s="44" t="s">
        <v>147</v>
      </c>
      <c r="P17" s="45" t="s">
        <v>148</v>
      </c>
    </row>
    <row r="18" spans="1:16" ht="12.75" customHeight="1" thickBot="1" x14ac:dyDescent="0.25">
      <c r="A18" s="14" t="str">
        <f t="shared" si="0"/>
        <v>OEJV 0160 </v>
      </c>
      <c r="B18" s="5" t="str">
        <f t="shared" si="1"/>
        <v>I</v>
      </c>
      <c r="C18" s="14">
        <f t="shared" si="2"/>
        <v>55740.505019999997</v>
      </c>
      <c r="D18" s="17" t="str">
        <f t="shared" si="3"/>
        <v>vis</v>
      </c>
      <c r="E18" s="41">
        <f>VLOOKUP(C18,Active!C$21:E$973,3,FALSE)</f>
        <v>22160.00162595751</v>
      </c>
      <c r="F18" s="5" t="s">
        <v>60</v>
      </c>
      <c r="G18" s="17" t="str">
        <f t="shared" si="4"/>
        <v>55740.50502</v>
      </c>
      <c r="H18" s="14">
        <f t="shared" si="5"/>
        <v>22161</v>
      </c>
      <c r="I18" s="42" t="s">
        <v>149</v>
      </c>
      <c r="J18" s="43" t="s">
        <v>150</v>
      </c>
      <c r="K18" s="42" t="s">
        <v>144</v>
      </c>
      <c r="L18" s="42" t="s">
        <v>151</v>
      </c>
      <c r="M18" s="43" t="s">
        <v>138</v>
      </c>
      <c r="N18" s="43" t="s">
        <v>60</v>
      </c>
      <c r="O18" s="44" t="s">
        <v>147</v>
      </c>
      <c r="P18" s="45" t="s">
        <v>148</v>
      </c>
    </row>
    <row r="19" spans="1:16" ht="12.75" customHeight="1" thickBot="1" x14ac:dyDescent="0.25">
      <c r="A19" s="14" t="str">
        <f t="shared" si="0"/>
        <v>OEJV 0160 </v>
      </c>
      <c r="B19" s="5" t="str">
        <f t="shared" si="1"/>
        <v>I</v>
      </c>
      <c r="C19" s="14">
        <f t="shared" si="2"/>
        <v>55740.505499999999</v>
      </c>
      <c r="D19" s="17" t="str">
        <f t="shared" si="3"/>
        <v>vis</v>
      </c>
      <c r="E19" s="41">
        <f>VLOOKUP(C19,Active!C$21:E$973,3,FALSE)</f>
        <v>22160.002020129028</v>
      </c>
      <c r="F19" s="5" t="s">
        <v>60</v>
      </c>
      <c r="G19" s="17" t="str">
        <f t="shared" si="4"/>
        <v>55740.5055</v>
      </c>
      <c r="H19" s="14">
        <f t="shared" si="5"/>
        <v>22161</v>
      </c>
      <c r="I19" s="42" t="s">
        <v>152</v>
      </c>
      <c r="J19" s="43" t="s">
        <v>150</v>
      </c>
      <c r="K19" s="42" t="s">
        <v>144</v>
      </c>
      <c r="L19" s="42" t="s">
        <v>153</v>
      </c>
      <c r="M19" s="43" t="s">
        <v>138</v>
      </c>
      <c r="N19" s="43" t="s">
        <v>34</v>
      </c>
      <c r="O19" s="44" t="s">
        <v>147</v>
      </c>
      <c r="P19" s="45" t="s">
        <v>148</v>
      </c>
    </row>
    <row r="20" spans="1:16" ht="12.75" customHeight="1" thickBot="1" x14ac:dyDescent="0.25">
      <c r="A20" s="14" t="str">
        <f t="shared" si="0"/>
        <v> BAN 10.285 </v>
      </c>
      <c r="B20" s="5" t="str">
        <f t="shared" si="1"/>
        <v>I</v>
      </c>
      <c r="C20" s="14">
        <f t="shared" si="2"/>
        <v>27902.948</v>
      </c>
      <c r="D20" s="17" t="str">
        <f t="shared" si="3"/>
        <v>vis</v>
      </c>
      <c r="E20" s="41">
        <f>VLOOKUP(C20,Active!C$21:E$973,3,FALSE)</f>
        <v>-699.94021731989494</v>
      </c>
      <c r="F20" s="5" t="s">
        <v>60</v>
      </c>
      <c r="G20" s="17" t="str">
        <f t="shared" si="4"/>
        <v>27902.948</v>
      </c>
      <c r="H20" s="14">
        <f t="shared" si="5"/>
        <v>-700</v>
      </c>
      <c r="I20" s="42" t="s">
        <v>62</v>
      </c>
      <c r="J20" s="43" t="s">
        <v>63</v>
      </c>
      <c r="K20" s="42">
        <v>-700</v>
      </c>
      <c r="L20" s="42" t="s">
        <v>64</v>
      </c>
      <c r="M20" s="43" t="s">
        <v>65</v>
      </c>
      <c r="N20" s="43"/>
      <c r="O20" s="44" t="s">
        <v>66</v>
      </c>
      <c r="P20" s="44" t="s">
        <v>67</v>
      </c>
    </row>
    <row r="21" spans="1:16" ht="12.75" customHeight="1" thickBot="1" x14ac:dyDescent="0.25">
      <c r="A21" s="14" t="str">
        <f t="shared" si="0"/>
        <v> BAN 10.285 </v>
      </c>
      <c r="B21" s="5" t="str">
        <f t="shared" si="1"/>
        <v>I</v>
      </c>
      <c r="C21" s="14">
        <f t="shared" si="2"/>
        <v>27957.754000000001</v>
      </c>
      <c r="D21" s="17" t="str">
        <f t="shared" si="3"/>
        <v>vis</v>
      </c>
      <c r="E21" s="41">
        <f>VLOOKUP(C21,Active!C$21:E$973,3,FALSE)</f>
        <v>-654.93404196612562</v>
      </c>
      <c r="F21" s="5" t="s">
        <v>60</v>
      </c>
      <c r="G21" s="17" t="str">
        <f t="shared" si="4"/>
        <v>27957.754</v>
      </c>
      <c r="H21" s="14">
        <f t="shared" si="5"/>
        <v>-655</v>
      </c>
      <c r="I21" s="42" t="s">
        <v>68</v>
      </c>
      <c r="J21" s="43" t="s">
        <v>69</v>
      </c>
      <c r="K21" s="42">
        <v>-655</v>
      </c>
      <c r="L21" s="42" t="s">
        <v>70</v>
      </c>
      <c r="M21" s="43" t="s">
        <v>65</v>
      </c>
      <c r="N21" s="43"/>
      <c r="O21" s="44" t="s">
        <v>66</v>
      </c>
      <c r="P21" s="44" t="s">
        <v>67</v>
      </c>
    </row>
    <row r="22" spans="1:16" ht="12.75" customHeight="1" thickBot="1" x14ac:dyDescent="0.25">
      <c r="A22" s="14" t="str">
        <f t="shared" si="0"/>
        <v> BAN 10.285 </v>
      </c>
      <c r="B22" s="5" t="str">
        <f t="shared" si="1"/>
        <v>I</v>
      </c>
      <c r="C22" s="14">
        <f t="shared" si="2"/>
        <v>27963.821</v>
      </c>
      <c r="D22" s="17" t="str">
        <f t="shared" si="3"/>
        <v>vis</v>
      </c>
      <c r="E22" s="41">
        <f>VLOOKUP(C22,Active!C$21:E$973,3,FALSE)</f>
        <v>-649.95187822727814</v>
      </c>
      <c r="F22" s="5" t="s">
        <v>60</v>
      </c>
      <c r="G22" s="17" t="str">
        <f t="shared" si="4"/>
        <v>27963.821</v>
      </c>
      <c r="H22" s="14">
        <f t="shared" si="5"/>
        <v>-650</v>
      </c>
      <c r="I22" s="42" t="s">
        <v>71</v>
      </c>
      <c r="J22" s="43" t="s">
        <v>72</v>
      </c>
      <c r="K22" s="42">
        <v>-650</v>
      </c>
      <c r="L22" s="42" t="s">
        <v>73</v>
      </c>
      <c r="M22" s="43" t="s">
        <v>65</v>
      </c>
      <c r="N22" s="43"/>
      <c r="O22" s="44" t="s">
        <v>66</v>
      </c>
      <c r="P22" s="44" t="s">
        <v>67</v>
      </c>
    </row>
    <row r="23" spans="1:16" ht="12.75" customHeight="1" thickBot="1" x14ac:dyDescent="0.25">
      <c r="A23" s="14" t="str">
        <f t="shared" si="0"/>
        <v> BAN 10.285 </v>
      </c>
      <c r="B23" s="5" t="str">
        <f t="shared" si="1"/>
        <v>I</v>
      </c>
      <c r="C23" s="14">
        <f t="shared" si="2"/>
        <v>27984.511999999999</v>
      </c>
      <c r="D23" s="17" t="str">
        <f t="shared" si="3"/>
        <v>vis</v>
      </c>
      <c r="E23" s="41">
        <f>VLOOKUP(C23,Active!C$21:E$973,3,FALSE)</f>
        <v>-632.96062226543484</v>
      </c>
      <c r="F23" s="5" t="s">
        <v>60</v>
      </c>
      <c r="G23" s="17" t="str">
        <f t="shared" si="4"/>
        <v>27984.512</v>
      </c>
      <c r="H23" s="14">
        <f t="shared" si="5"/>
        <v>-633</v>
      </c>
      <c r="I23" s="42" t="s">
        <v>74</v>
      </c>
      <c r="J23" s="43" t="s">
        <v>75</v>
      </c>
      <c r="K23" s="42">
        <v>-633</v>
      </c>
      <c r="L23" s="42" t="s">
        <v>76</v>
      </c>
      <c r="M23" s="43" t="s">
        <v>65</v>
      </c>
      <c r="N23" s="43"/>
      <c r="O23" s="44" t="s">
        <v>66</v>
      </c>
      <c r="P23" s="44" t="s">
        <v>67</v>
      </c>
    </row>
    <row r="24" spans="1:16" ht="12.75" customHeight="1" thickBot="1" x14ac:dyDescent="0.25">
      <c r="A24" s="14" t="str">
        <f t="shared" si="0"/>
        <v> BAN 10.285 </v>
      </c>
      <c r="B24" s="5" t="str">
        <f t="shared" si="1"/>
        <v>I</v>
      </c>
      <c r="C24" s="14">
        <f t="shared" si="2"/>
        <v>28013.741000000002</v>
      </c>
      <c r="D24" s="17" t="str">
        <f t="shared" si="3"/>
        <v>vis</v>
      </c>
      <c r="E24" s="41">
        <f>VLOOKUP(C24,Active!C$21:E$973,3,FALSE)</f>
        <v>-608.95804044199497</v>
      </c>
      <c r="F24" s="5" t="s">
        <v>60</v>
      </c>
      <c r="G24" s="17" t="str">
        <f t="shared" si="4"/>
        <v>28013.741</v>
      </c>
      <c r="H24" s="14">
        <f t="shared" si="5"/>
        <v>-609</v>
      </c>
      <c r="I24" s="42" t="s">
        <v>77</v>
      </c>
      <c r="J24" s="43" t="s">
        <v>78</v>
      </c>
      <c r="K24" s="42">
        <v>-609</v>
      </c>
      <c r="L24" s="42" t="s">
        <v>79</v>
      </c>
      <c r="M24" s="43" t="s">
        <v>65</v>
      </c>
      <c r="N24" s="43"/>
      <c r="O24" s="44" t="s">
        <v>66</v>
      </c>
      <c r="P24" s="44" t="s">
        <v>67</v>
      </c>
    </row>
    <row r="25" spans="1:16" ht="12.75" customHeight="1" thickBot="1" x14ac:dyDescent="0.25">
      <c r="A25" s="14" t="str">
        <f t="shared" si="0"/>
        <v> BAN 10.285 </v>
      </c>
      <c r="B25" s="5" t="str">
        <f t="shared" si="1"/>
        <v>I</v>
      </c>
      <c r="C25" s="14">
        <f t="shared" si="2"/>
        <v>28755.355</v>
      </c>
      <c r="D25" s="17" t="str">
        <f t="shared" si="3"/>
        <v>vis</v>
      </c>
      <c r="E25" s="41">
        <f>VLOOKUP(C25,Active!C$21:E$973,3,FALSE)</f>
        <v>4.8450248985916537E-2</v>
      </c>
      <c r="F25" s="5" t="s">
        <v>60</v>
      </c>
      <c r="G25" s="17" t="str">
        <f t="shared" si="4"/>
        <v>28755.355</v>
      </c>
      <c r="H25" s="14">
        <f t="shared" si="5"/>
        <v>0</v>
      </c>
      <c r="I25" s="42" t="s">
        <v>80</v>
      </c>
      <c r="J25" s="43" t="s">
        <v>81</v>
      </c>
      <c r="K25" s="42">
        <v>0</v>
      </c>
      <c r="L25" s="42" t="s">
        <v>73</v>
      </c>
      <c r="M25" s="43" t="s">
        <v>65</v>
      </c>
      <c r="N25" s="43"/>
      <c r="O25" s="44" t="s">
        <v>66</v>
      </c>
      <c r="P25" s="44" t="s">
        <v>67</v>
      </c>
    </row>
    <row r="26" spans="1:16" ht="12.75" customHeight="1" thickBot="1" x14ac:dyDescent="0.25">
      <c r="A26" s="14" t="str">
        <f t="shared" si="0"/>
        <v> BAN 10.285 </v>
      </c>
      <c r="B26" s="5" t="str">
        <f t="shared" si="1"/>
        <v>I</v>
      </c>
      <c r="C26" s="14">
        <f t="shared" si="2"/>
        <v>28833.29</v>
      </c>
      <c r="D26" s="17" t="str">
        <f t="shared" si="3"/>
        <v>vis</v>
      </c>
      <c r="E26" s="41">
        <f>VLOOKUP(C26,Active!C$21:E$973,3,FALSE)</f>
        <v>64.047944395539972</v>
      </c>
      <c r="F26" s="5" t="s">
        <v>60</v>
      </c>
      <c r="G26" s="17" t="str">
        <f t="shared" si="4"/>
        <v>28833.290</v>
      </c>
      <c r="H26" s="14">
        <f t="shared" si="5"/>
        <v>64</v>
      </c>
      <c r="I26" s="42" t="s">
        <v>82</v>
      </c>
      <c r="J26" s="43" t="s">
        <v>83</v>
      </c>
      <c r="K26" s="42">
        <v>64</v>
      </c>
      <c r="L26" s="42" t="s">
        <v>84</v>
      </c>
      <c r="M26" s="43" t="s">
        <v>65</v>
      </c>
      <c r="N26" s="43"/>
      <c r="O26" s="44" t="s">
        <v>66</v>
      </c>
      <c r="P26" s="44" t="s">
        <v>67</v>
      </c>
    </row>
    <row r="27" spans="1:16" ht="12.75" customHeight="1" thickBot="1" x14ac:dyDescent="0.25">
      <c r="A27" s="14" t="str">
        <f t="shared" si="0"/>
        <v> BAN 10.285 </v>
      </c>
      <c r="B27" s="5" t="str">
        <f t="shared" si="1"/>
        <v>I</v>
      </c>
      <c r="C27" s="14">
        <f t="shared" si="2"/>
        <v>29074.359</v>
      </c>
      <c r="D27" s="17" t="str">
        <f t="shared" si="3"/>
        <v>vis</v>
      </c>
      <c r="E27" s="41">
        <f>VLOOKUP(C27,Active!C$21:E$973,3,FALSE)</f>
        <v>262.01155579497987</v>
      </c>
      <c r="F27" s="5" t="s">
        <v>60</v>
      </c>
      <c r="G27" s="17" t="str">
        <f t="shared" si="4"/>
        <v>29074.359</v>
      </c>
      <c r="H27" s="14">
        <f t="shared" si="5"/>
        <v>262</v>
      </c>
      <c r="I27" s="42" t="s">
        <v>85</v>
      </c>
      <c r="J27" s="43" t="s">
        <v>86</v>
      </c>
      <c r="K27" s="42">
        <v>262</v>
      </c>
      <c r="L27" s="42" t="s">
        <v>87</v>
      </c>
      <c r="M27" s="43" t="s">
        <v>65</v>
      </c>
      <c r="N27" s="43"/>
      <c r="O27" s="44" t="s">
        <v>66</v>
      </c>
      <c r="P27" s="44" t="s">
        <v>67</v>
      </c>
    </row>
    <row r="28" spans="1:16" ht="12.75" customHeight="1" thickBot="1" x14ac:dyDescent="0.25">
      <c r="A28" s="14" t="str">
        <f t="shared" si="0"/>
        <v> BAN 10.285 </v>
      </c>
      <c r="B28" s="5" t="str">
        <f t="shared" si="1"/>
        <v>I</v>
      </c>
      <c r="C28" s="14">
        <f t="shared" si="2"/>
        <v>29108.484</v>
      </c>
      <c r="D28" s="17" t="str">
        <f t="shared" si="3"/>
        <v>vis</v>
      </c>
      <c r="E28" s="41">
        <f>VLOOKUP(C28,Active!C$21:E$973,3,FALSE)</f>
        <v>290.03468709351222</v>
      </c>
      <c r="F28" s="5" t="s">
        <v>60</v>
      </c>
      <c r="G28" s="17" t="str">
        <f t="shared" si="4"/>
        <v>29108.484</v>
      </c>
      <c r="H28" s="14">
        <f t="shared" si="5"/>
        <v>290</v>
      </c>
      <c r="I28" s="42" t="s">
        <v>88</v>
      </c>
      <c r="J28" s="43" t="s">
        <v>89</v>
      </c>
      <c r="K28" s="42">
        <v>290</v>
      </c>
      <c r="L28" s="42" t="s">
        <v>90</v>
      </c>
      <c r="M28" s="43" t="s">
        <v>65</v>
      </c>
      <c r="N28" s="43"/>
      <c r="O28" s="44" t="s">
        <v>66</v>
      </c>
      <c r="P28" s="44" t="s">
        <v>67</v>
      </c>
    </row>
    <row r="29" spans="1:16" ht="12.75" customHeight="1" thickBot="1" x14ac:dyDescent="0.25">
      <c r="A29" s="14" t="str">
        <f t="shared" si="0"/>
        <v> BAN 10.285 </v>
      </c>
      <c r="B29" s="5" t="str">
        <f t="shared" si="1"/>
        <v>I</v>
      </c>
      <c r="C29" s="14">
        <f t="shared" si="2"/>
        <v>29141.341</v>
      </c>
      <c r="D29" s="17" t="str">
        <f t="shared" si="3"/>
        <v>vis</v>
      </c>
      <c r="E29" s="41">
        <f>VLOOKUP(C29,Active!C$21:E$973,3,FALSE)</f>
        <v>317.01654863419725</v>
      </c>
      <c r="F29" s="5" t="s">
        <v>60</v>
      </c>
      <c r="G29" s="17" t="str">
        <f t="shared" si="4"/>
        <v>29141.341</v>
      </c>
      <c r="H29" s="14">
        <f t="shared" si="5"/>
        <v>317</v>
      </c>
      <c r="I29" s="42" t="s">
        <v>91</v>
      </c>
      <c r="J29" s="43" t="s">
        <v>92</v>
      </c>
      <c r="K29" s="42">
        <v>317</v>
      </c>
      <c r="L29" s="42" t="s">
        <v>93</v>
      </c>
      <c r="M29" s="43" t="s">
        <v>65</v>
      </c>
      <c r="N29" s="43"/>
      <c r="O29" s="44" t="s">
        <v>66</v>
      </c>
      <c r="P29" s="44" t="s">
        <v>67</v>
      </c>
    </row>
    <row r="30" spans="1:16" ht="12.75" customHeight="1" thickBot="1" x14ac:dyDescent="0.25">
      <c r="A30" s="14" t="str">
        <f t="shared" si="0"/>
        <v> BAN 10.285 </v>
      </c>
      <c r="B30" s="5" t="str">
        <f t="shared" si="1"/>
        <v>I</v>
      </c>
      <c r="C30" s="14">
        <f t="shared" si="2"/>
        <v>29399.545999999998</v>
      </c>
      <c r="D30" s="17" t="str">
        <f t="shared" si="3"/>
        <v>vis</v>
      </c>
      <c r="E30" s="41">
        <f>VLOOKUP(C30,Active!C$21:E$973,3,FALSE)</f>
        <v>529.05208319646829</v>
      </c>
      <c r="F30" s="5" t="s">
        <v>60</v>
      </c>
      <c r="G30" s="17" t="str">
        <f t="shared" si="4"/>
        <v>29399.546</v>
      </c>
      <c r="H30" s="14">
        <f t="shared" si="5"/>
        <v>529</v>
      </c>
      <c r="I30" s="42" t="s">
        <v>94</v>
      </c>
      <c r="J30" s="43" t="s">
        <v>95</v>
      </c>
      <c r="K30" s="42">
        <v>529</v>
      </c>
      <c r="L30" s="42" t="s">
        <v>96</v>
      </c>
      <c r="M30" s="43" t="s">
        <v>65</v>
      </c>
      <c r="N30" s="43"/>
      <c r="O30" s="44" t="s">
        <v>66</v>
      </c>
      <c r="P30" s="44" t="s">
        <v>67</v>
      </c>
    </row>
    <row r="31" spans="1:16" ht="12.75" customHeight="1" thickBot="1" x14ac:dyDescent="0.25">
      <c r="A31" s="14" t="str">
        <f t="shared" si="0"/>
        <v> BAN 10.285 </v>
      </c>
      <c r="B31" s="5" t="str">
        <f t="shared" si="1"/>
        <v>I</v>
      </c>
      <c r="C31" s="14">
        <f t="shared" si="2"/>
        <v>29410.467000000001</v>
      </c>
      <c r="D31" s="17" t="str">
        <f t="shared" si="3"/>
        <v>vis</v>
      </c>
      <c r="E31" s="41">
        <f>VLOOKUP(C31,Active!C$21:E$973,3,FALSE)</f>
        <v>538.02030640266105</v>
      </c>
      <c r="F31" s="5" t="s">
        <v>60</v>
      </c>
      <c r="G31" s="17" t="str">
        <f t="shared" si="4"/>
        <v>29410.467</v>
      </c>
      <c r="H31" s="14">
        <f t="shared" si="5"/>
        <v>538</v>
      </c>
      <c r="I31" s="42" t="s">
        <v>97</v>
      </c>
      <c r="J31" s="43" t="s">
        <v>98</v>
      </c>
      <c r="K31" s="42">
        <v>538</v>
      </c>
      <c r="L31" s="42" t="s">
        <v>99</v>
      </c>
      <c r="M31" s="43" t="s">
        <v>65</v>
      </c>
      <c r="N31" s="43"/>
      <c r="O31" s="44" t="s">
        <v>66</v>
      </c>
      <c r="P31" s="44" t="s">
        <v>67</v>
      </c>
    </row>
    <row r="32" spans="1:16" ht="12.75" customHeight="1" thickBot="1" x14ac:dyDescent="0.25">
      <c r="A32" s="14" t="str">
        <f t="shared" si="0"/>
        <v> BAN 10.285 </v>
      </c>
      <c r="B32" s="5" t="str">
        <f t="shared" si="1"/>
        <v>I</v>
      </c>
      <c r="C32" s="14">
        <f t="shared" si="2"/>
        <v>29438.468000000001</v>
      </c>
      <c r="D32" s="17" t="str">
        <f t="shared" si="3"/>
        <v>vis</v>
      </c>
      <c r="E32" s="41">
        <f>VLOOKUP(C32,Active!C$21:E$973,3,FALSE)</f>
        <v>561.01446609468189</v>
      </c>
      <c r="F32" s="5" t="s">
        <v>60</v>
      </c>
      <c r="G32" s="17" t="str">
        <f t="shared" si="4"/>
        <v>29438.468</v>
      </c>
      <c r="H32" s="14">
        <f t="shared" si="5"/>
        <v>561</v>
      </c>
      <c r="I32" s="42" t="s">
        <v>100</v>
      </c>
      <c r="J32" s="43" t="s">
        <v>101</v>
      </c>
      <c r="K32" s="42">
        <v>561</v>
      </c>
      <c r="L32" s="42" t="s">
        <v>102</v>
      </c>
      <c r="M32" s="43" t="s">
        <v>65</v>
      </c>
      <c r="N32" s="43"/>
      <c r="O32" s="44" t="s">
        <v>66</v>
      </c>
      <c r="P32" s="44" t="s">
        <v>67</v>
      </c>
    </row>
    <row r="33" spans="1:16" ht="12.75" customHeight="1" thickBot="1" x14ac:dyDescent="0.25">
      <c r="A33" s="14" t="str">
        <f t="shared" si="0"/>
        <v>BAVM 193 </v>
      </c>
      <c r="B33" s="5" t="str">
        <f t="shared" si="1"/>
        <v>I</v>
      </c>
      <c r="C33" s="14">
        <f t="shared" si="2"/>
        <v>54319.412700000001</v>
      </c>
      <c r="D33" s="17" t="str">
        <f t="shared" si="3"/>
        <v>vis</v>
      </c>
      <c r="E33" s="41">
        <f>VLOOKUP(C33,Active!C$21:E$973,3,FALSE)</f>
        <v>20993.013884691696</v>
      </c>
      <c r="F33" s="5" t="s">
        <v>60</v>
      </c>
      <c r="G33" s="17" t="str">
        <f t="shared" si="4"/>
        <v>54319.4127</v>
      </c>
      <c r="H33" s="14">
        <f t="shared" si="5"/>
        <v>20994</v>
      </c>
      <c r="I33" s="42" t="s">
        <v>135</v>
      </c>
      <c r="J33" s="43" t="s">
        <v>136</v>
      </c>
      <c r="K33" s="42">
        <v>20994</v>
      </c>
      <c r="L33" s="42" t="s">
        <v>137</v>
      </c>
      <c r="M33" s="43" t="s">
        <v>138</v>
      </c>
      <c r="N33" s="43" t="s">
        <v>139</v>
      </c>
      <c r="O33" s="44" t="s">
        <v>140</v>
      </c>
      <c r="P33" s="45" t="s">
        <v>141</v>
      </c>
    </row>
    <row r="34" spans="1:16" x14ac:dyDescent="0.2">
      <c r="B34" s="5"/>
      <c r="E34" s="41"/>
      <c r="F34" s="5"/>
    </row>
    <row r="35" spans="1:16" x14ac:dyDescent="0.2">
      <c r="B35" s="5"/>
      <c r="E35" s="41"/>
      <c r="F35" s="5"/>
    </row>
    <row r="36" spans="1:16" x14ac:dyDescent="0.2">
      <c r="B36" s="5"/>
      <c r="E36" s="41"/>
      <c r="F36" s="5"/>
    </row>
    <row r="37" spans="1:16" x14ac:dyDescent="0.2">
      <c r="B37" s="5"/>
      <c r="E37" s="41"/>
      <c r="F37" s="5"/>
    </row>
    <row r="38" spans="1:16" x14ac:dyDescent="0.2">
      <c r="B38" s="5"/>
      <c r="E38" s="41"/>
      <c r="F38" s="5"/>
    </row>
    <row r="39" spans="1:16" x14ac:dyDescent="0.2">
      <c r="B39" s="5"/>
      <c r="E39" s="41"/>
      <c r="F39" s="5"/>
    </row>
    <row r="40" spans="1:16" x14ac:dyDescent="0.2">
      <c r="B40" s="5"/>
      <c r="E40" s="41"/>
      <c r="F40" s="5"/>
    </row>
    <row r="41" spans="1:16" x14ac:dyDescent="0.2">
      <c r="B41" s="5"/>
      <c r="E41" s="41"/>
      <c r="F41" s="5"/>
    </row>
    <row r="42" spans="1:16" x14ac:dyDescent="0.2">
      <c r="B42" s="5"/>
      <c r="E42" s="41"/>
      <c r="F42" s="5"/>
    </row>
    <row r="43" spans="1:16" x14ac:dyDescent="0.2">
      <c r="B43" s="5"/>
      <c r="E43" s="41"/>
      <c r="F43" s="5"/>
    </row>
    <row r="44" spans="1:16" x14ac:dyDescent="0.2">
      <c r="B44" s="5"/>
      <c r="E44" s="41"/>
      <c r="F44" s="5"/>
    </row>
    <row r="45" spans="1:16" x14ac:dyDescent="0.2">
      <c r="B45" s="5"/>
      <c r="E45" s="41"/>
      <c r="F45" s="5"/>
    </row>
    <row r="46" spans="1:16" x14ac:dyDescent="0.2">
      <c r="B46" s="5"/>
      <c r="E46" s="41"/>
      <c r="F46" s="5"/>
    </row>
    <row r="47" spans="1:16" x14ac:dyDescent="0.2">
      <c r="B47" s="5"/>
      <c r="E47" s="41"/>
      <c r="F47" s="5"/>
    </row>
    <row r="48" spans="1:16" x14ac:dyDescent="0.2">
      <c r="B48" s="5"/>
      <c r="E48" s="41"/>
      <c r="F48" s="5"/>
    </row>
    <row r="49" spans="2:6" x14ac:dyDescent="0.2">
      <c r="B49" s="5"/>
      <c r="E49" s="41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7" type="noConversion"/>
  <hyperlinks>
    <hyperlink ref="P12" r:id="rId1" display="http://www.bav-astro.de/sfs/BAVM_link.php?BAVMnr=99"/>
    <hyperlink ref="P14" r:id="rId2" display="http://www.konkoly.hu/cgi-bin/IBVS?4888"/>
    <hyperlink ref="P15" r:id="rId3" display="http://www.bav-astro.de/sfs/BAVM_link.php?BAVMnr=118"/>
    <hyperlink ref="P16" r:id="rId4" display="http://www.konkoly.hu/cgi-bin/IBVS?5583"/>
    <hyperlink ref="P33" r:id="rId5" display="http://www.bav-astro.de/sfs/BAVM_link.php?BAVMnr=193"/>
    <hyperlink ref="P17" r:id="rId6" display="http://var.astro.cz/oejv/issues/oejv0160.pdf"/>
    <hyperlink ref="P18" r:id="rId7" display="http://var.astro.cz/oejv/issues/oejv0160.pdf"/>
    <hyperlink ref="P19" r:id="rId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2023-01-24T04:42:41Z</dcterms:modified>
</cp:coreProperties>
</file>