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71FF3ED-F877-44BD-8EE3-0BEF90F9377A}" xr6:coauthVersionLast="47" xr6:coauthVersionMax="47" xr10:uidLastSave="{00000000-0000-0000-0000-000000000000}"/>
  <bookViews>
    <workbookView xWindow="14130" yWindow="480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J29" i="1" s="1"/>
  <c r="Q29" i="1"/>
  <c r="G11" i="1"/>
  <c r="F11" i="1"/>
  <c r="C21" i="1"/>
  <c r="E21" i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J26" i="1"/>
  <c r="E27" i="1"/>
  <c r="F27" i="1"/>
  <c r="G27" i="1"/>
  <c r="J27" i="1"/>
  <c r="E28" i="1"/>
  <c r="F28" i="1"/>
  <c r="G28" i="1"/>
  <c r="J28" i="1"/>
  <c r="E14" i="1"/>
  <c r="E15" i="1" s="1"/>
  <c r="C17" i="1"/>
  <c r="A21" i="1"/>
  <c r="H20" i="1"/>
  <c r="Q21" i="1"/>
  <c r="Q22" i="1"/>
  <c r="Q23" i="1"/>
  <c r="Q24" i="1"/>
  <c r="Q25" i="1"/>
  <c r="Q26" i="1"/>
  <c r="Q27" i="1"/>
  <c r="Q28" i="1"/>
  <c r="C11" i="1"/>
  <c r="C12" i="1"/>
  <c r="O29" i="1" l="1"/>
  <c r="S29" i="1" s="1"/>
  <c r="C16" i="1"/>
  <c r="D18" i="1" s="1"/>
  <c r="O21" i="1"/>
  <c r="S21" i="1" s="1"/>
  <c r="C15" i="1"/>
  <c r="O27" i="1"/>
  <c r="S27" i="1" s="1"/>
  <c r="O25" i="1"/>
  <c r="S25" i="1" s="1"/>
  <c r="O22" i="1"/>
  <c r="S22" i="1" s="1"/>
  <c r="O24" i="1"/>
  <c r="S24" i="1" s="1"/>
  <c r="O26" i="1"/>
  <c r="S26" i="1" s="1"/>
  <c r="O28" i="1"/>
  <c r="S28" i="1" s="1"/>
  <c r="O23" i="1"/>
  <c r="S23" i="1" s="1"/>
  <c r="E16" i="1" l="1"/>
  <c r="E17" i="1" s="1"/>
  <c r="C18" i="1"/>
  <c r="S19" i="1"/>
</calcChain>
</file>

<file path=xl/sharedStrings.xml><?xml version="1.0" encoding="utf-8"?>
<sst xmlns="http://schemas.openxmlformats.org/spreadsheetml/2006/main" count="72" uniqueCount="59">
  <si>
    <t>G4906-0447_Sex.xls</t>
  </si>
  <si>
    <t>System Type:</t>
  </si>
  <si>
    <t>EC</t>
  </si>
  <si>
    <t>Constell:</t>
  </si>
  <si>
    <t>Sex</t>
  </si>
  <si>
    <t>G4906-0447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</si>
  <si>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</si>
  <si>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</si>
  <si>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</si>
  <si>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</si>
  <si>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</si>
  <si>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</si>
  <si>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</si>
  <si>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</si>
  <si>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</si>
  <si>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</si>
  <si>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</si>
  <si>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</si>
  <si>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</si>
  <si>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</si>
  <si>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</si>
  <si>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</si>
  <si>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</si>
  <si>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</si>
  <si>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</si>
  <si>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</si>
  <si>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</si>
  <si>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</si>
  <si>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</si>
  <si>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</si>
  <si>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</si>
  <si>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</si>
  <si>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</si>
  <si>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</si>
  <si>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</si>
  <si>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</si>
  <si>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</si>
  <si>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</si>
  <si>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IBVS</t>
  </si>
  <si>
    <t>S4</t>
  </si>
  <si>
    <t>S5</t>
  </si>
  <si>
    <t>S6</t>
  </si>
  <si>
    <t>Misc</t>
  </si>
  <si>
    <t>Lin Fit</t>
  </si>
  <si>
    <t>Q. Fit</t>
  </si>
  <si>
    <t>Date</t>
  </si>
  <si>
    <t>BAD</t>
  </si>
  <si>
    <t>IBVS 5992</t>
  </si>
  <si>
    <t>I</t>
  </si>
  <si>
    <t>IBVS 6029</t>
  </si>
  <si>
    <t>II</t>
  </si>
  <si>
    <t>IBVS 6063</t>
  </si>
  <si>
    <t>VSB 067</t>
  </si>
  <si>
    <t>B</t>
  </si>
  <si>
    <t>Ic</t>
  </si>
  <si>
    <t>V</t>
  </si>
  <si>
    <t>CP Sex / GSC 4906-0447</t>
  </si>
  <si>
    <t>VSB, 91</t>
  </si>
  <si>
    <t>VSB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</si>
</sst>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\$#,##0_);&quot;($&quot;#,##0\)"/>
    <numFmt numFmtId="174" formatCode="m/d/yyyy"/>
    <numFmt numFmtId="175" formatCode="0.00000"/>
    <numFmt numFmtId="176" formatCode="dd/mm/yyyy\ h:mm"/>
  </numFmts>
  <fonts count="12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>
      <alignment vertical="top"/>
    </xf>
    <xf numFmtId="3" fontId="10" fillId="0" borderId="0" applyFill="0" applyBorder="0" applyProtection="0">
      <alignment vertical="top"/>
    </xf>
    <xf numFmtId="172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</cellStyleXfs>
  <cellXfs count="38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2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7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74" fontId="0" fillId="0" borderId="0" xfId="0" applyNumberForma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75" fontId="11" fillId="0" borderId="0" xfId="0" applyNumberFormat="1" applyFont="1" applyAlignment="1">
      <alignment vertical="center" wrapText="1"/>
    </xf>
    <xf numFmtId="176" fontId="7" fillId="0" borderId="0" xfId="0" applyNumberFormat="1" applyFont="1">
      <alignment vertical="top"/>
    </xf>
  </cellXfs>
  <cellStyles count="5">
    <cellStyle name="Comma0" xfId="1"/>
    <cellStyle name="Currency0" xfId="2"/>
    <cellStyle name="Date" xfId="3"/>
    <cellStyle name="Fixed" xf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4906-0447 - O-C Diagr.</a:t>
            </a:r>
          </a:p>
        </c:rich>
      </c:tx>
      <c:layout>
        <c:manualLayout>
          <c:xMode val="edge"/>
          <c:yMode val="edge"/>
          <c:x val="0.332330827067669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0</c:v>
                </c:pt>
                <c:pt idx="1">
                  <c:v>11111.5</c:v>
                </c:pt>
                <c:pt idx="2">
                  <c:v>12022</c:v>
                </c:pt>
                <c:pt idx="3">
                  <c:v>12201</c:v>
                </c:pt>
                <c:pt idx="4">
                  <c:v>13085</c:v>
                </c:pt>
                <c:pt idx="5">
                  <c:v>20418</c:v>
                </c:pt>
                <c:pt idx="6">
                  <c:v>20418</c:v>
                </c:pt>
                <c:pt idx="7">
                  <c:v>20418</c:v>
                </c:pt>
              </c:numCache>
            </c:numRef>
          </c:xVal>
          <c:yVal>
            <c:numRef>
              <c:f>Active!$H$21:$H$28</c:f>
              <c:numCache>
                <c:formatCode>General</c:formatCode>
                <c:ptCount val="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D1-43D8-AD36-F9E7EF133F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0</c:v>
                </c:pt>
                <c:pt idx="1">
                  <c:v>11111.5</c:v>
                </c:pt>
                <c:pt idx="2">
                  <c:v>12022</c:v>
                </c:pt>
                <c:pt idx="3">
                  <c:v>12201</c:v>
                </c:pt>
                <c:pt idx="4">
                  <c:v>13085</c:v>
                </c:pt>
                <c:pt idx="5">
                  <c:v>20418</c:v>
                </c:pt>
                <c:pt idx="6">
                  <c:v>20418</c:v>
                </c:pt>
                <c:pt idx="7">
                  <c:v>20418</c:v>
                </c:pt>
              </c:numCache>
            </c:numRef>
          </c:xVal>
          <c:yVal>
            <c:numRef>
              <c:f>Active!$I$21:$I$28</c:f>
              <c:numCache>
                <c:formatCode>General</c:formatCode>
                <c:ptCount val="8"/>
                <c:pt idx="1">
                  <c:v>-3.0954999965615571E-3</c:v>
                </c:pt>
                <c:pt idx="2">
                  <c:v>-3.8739999945391901E-3</c:v>
                </c:pt>
                <c:pt idx="3">
                  <c:v>-5.8169999974779785E-3</c:v>
                </c:pt>
                <c:pt idx="4">
                  <c:v>-3.4449999948265031E-3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D1-43D8-AD36-F9E7EF133F6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0</c:v>
                </c:pt>
                <c:pt idx="1">
                  <c:v>11111.5</c:v>
                </c:pt>
                <c:pt idx="2">
                  <c:v>12022</c:v>
                </c:pt>
                <c:pt idx="3">
                  <c:v>12201</c:v>
                </c:pt>
                <c:pt idx="4">
                  <c:v>13085</c:v>
                </c:pt>
                <c:pt idx="5">
                  <c:v>20418</c:v>
                </c:pt>
                <c:pt idx="6">
                  <c:v>20418</c:v>
                </c:pt>
                <c:pt idx="7">
                  <c:v>20418</c:v>
                </c:pt>
              </c:numCache>
            </c:numRef>
          </c:xVal>
          <c:yVal>
            <c:numRef>
              <c:f>Active!$J$21:$J$25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D1-43D8-AD36-F9E7EF133F6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0</c:v>
                </c:pt>
                <c:pt idx="1">
                  <c:v>11111.5</c:v>
                </c:pt>
                <c:pt idx="2">
                  <c:v>12022</c:v>
                </c:pt>
                <c:pt idx="3">
                  <c:v>12201</c:v>
                </c:pt>
                <c:pt idx="4">
                  <c:v>13085</c:v>
                </c:pt>
                <c:pt idx="5">
                  <c:v>20418</c:v>
                </c:pt>
                <c:pt idx="6">
                  <c:v>20418</c:v>
                </c:pt>
                <c:pt idx="7">
                  <c:v>20418</c:v>
                </c:pt>
              </c:numCache>
            </c:numRef>
          </c:xVal>
          <c:yVal>
            <c:numRef>
              <c:f>Active!$K$21:$K$28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D1-43D8-AD36-F9E7EF133F6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0</c:v>
                </c:pt>
                <c:pt idx="1">
                  <c:v>11111.5</c:v>
                </c:pt>
                <c:pt idx="2">
                  <c:v>12022</c:v>
                </c:pt>
                <c:pt idx="3">
                  <c:v>12201</c:v>
                </c:pt>
                <c:pt idx="4">
                  <c:v>13085</c:v>
                </c:pt>
                <c:pt idx="5">
                  <c:v>20418</c:v>
                </c:pt>
                <c:pt idx="6">
                  <c:v>20418</c:v>
                </c:pt>
                <c:pt idx="7">
                  <c:v>20418</c:v>
                </c:pt>
              </c:numCache>
            </c:numRef>
          </c:xVal>
          <c:yVal>
            <c:numRef>
              <c:f>Active!$L$21:$L$28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D1-43D8-AD36-F9E7EF133F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0</c:v>
                </c:pt>
                <c:pt idx="1">
                  <c:v>11111.5</c:v>
                </c:pt>
                <c:pt idx="2">
                  <c:v>12022</c:v>
                </c:pt>
                <c:pt idx="3">
                  <c:v>12201</c:v>
                </c:pt>
                <c:pt idx="4">
                  <c:v>13085</c:v>
                </c:pt>
                <c:pt idx="5">
                  <c:v>20418</c:v>
                </c:pt>
                <c:pt idx="6">
                  <c:v>20418</c:v>
                </c:pt>
                <c:pt idx="7">
                  <c:v>20418</c:v>
                </c:pt>
              </c:numCache>
            </c:numRef>
          </c:xVal>
          <c:yVal>
            <c:numRef>
              <c:f>Active!$M$21:$M$28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D1-43D8-AD36-F9E7EF133F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0</c:v>
                </c:pt>
                <c:pt idx="1">
                  <c:v>11111.5</c:v>
                </c:pt>
                <c:pt idx="2">
                  <c:v>12022</c:v>
                </c:pt>
                <c:pt idx="3">
                  <c:v>12201</c:v>
                </c:pt>
                <c:pt idx="4">
                  <c:v>13085</c:v>
                </c:pt>
                <c:pt idx="5">
                  <c:v>20418</c:v>
                </c:pt>
                <c:pt idx="6">
                  <c:v>20418</c:v>
                </c:pt>
                <c:pt idx="7">
                  <c:v>20418</c:v>
                </c:pt>
              </c:numCache>
            </c:numRef>
          </c:xVal>
          <c:yVal>
            <c:numRef>
              <c:f>Active!$N$21:$N$28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D1-43D8-AD36-F9E7EF133F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0</c:v>
                </c:pt>
                <c:pt idx="1">
                  <c:v>11111.5</c:v>
                </c:pt>
                <c:pt idx="2">
                  <c:v>12022</c:v>
                </c:pt>
                <c:pt idx="3">
                  <c:v>12201</c:v>
                </c:pt>
                <c:pt idx="4">
                  <c:v>13085</c:v>
                </c:pt>
                <c:pt idx="5">
                  <c:v>20418</c:v>
                </c:pt>
                <c:pt idx="6">
                  <c:v>20418</c:v>
                </c:pt>
                <c:pt idx="7">
                  <c:v>20418</c:v>
                </c:pt>
              </c:numCache>
            </c:numRef>
          </c:xVal>
          <c:yVal>
            <c:numRef>
              <c:f>Active!$O$21:$O$28</c:f>
              <c:numCache>
                <c:formatCode>General</c:formatCode>
                <c:ptCount val="8"/>
                <c:pt idx="0">
                  <c:v>2.3728851679444265E-3</c:v>
                </c:pt>
                <c:pt idx="1">
                  <c:v>-4.6728286165307175E-3</c:v>
                </c:pt>
                <c:pt idx="2">
                  <c:v>-5.2501694256712134E-3</c:v>
                </c:pt>
                <c:pt idx="3">
                  <c:v>-5.3636719021524313E-3</c:v>
                </c:pt>
                <c:pt idx="4">
                  <c:v>-5.9242092720373273E-3</c:v>
                </c:pt>
                <c:pt idx="5">
                  <c:v>-1.0574006255482968E-2</c:v>
                </c:pt>
                <c:pt idx="6">
                  <c:v>-1.0574006255482968E-2</c:v>
                </c:pt>
                <c:pt idx="7">
                  <c:v>-1.0574006255482968E-2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D1-43D8-AD36-F9E7EF133F6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0</c:v>
                </c:pt>
                <c:pt idx="1">
                  <c:v>11111.5</c:v>
                </c:pt>
                <c:pt idx="2">
                  <c:v>12022</c:v>
                </c:pt>
                <c:pt idx="3">
                  <c:v>12201</c:v>
                </c:pt>
                <c:pt idx="4">
                  <c:v>13085</c:v>
                </c:pt>
                <c:pt idx="5">
                  <c:v>20418</c:v>
                </c:pt>
                <c:pt idx="6">
                  <c:v>20418</c:v>
                </c:pt>
                <c:pt idx="7">
                  <c:v>20418</c:v>
                </c:pt>
              </c:numCache>
            </c:numRef>
          </c:xVal>
          <c:yVal>
            <c:numRef>
              <c:f>Active!$R$21:$R$28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D1-43D8-AD36-F9E7EF133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757384"/>
        <c:axId val="1"/>
      </c:scatterChart>
      <c:valAx>
        <c:axId val="44375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7573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345864661654135"/>
          <c:y val="0.91591875339906836"/>
          <c:w val="0.7338345864661654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620DC13-188C-6B71-3ACF-DA260426D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E5" sqref="E4:E5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56</v>
      </c>
      <c r="E1" s="1" t="s">
        <v>0</v>
      </c>
    </row>
    <row r="2" spans="1:7" x14ac:dyDescent="0.2">
      <c r="A2" s="1" t="s">
        <v>1</v>
      </c>
      <c r="B2" s="1" t="s">
        <v>2</v>
      </c>
      <c r="C2" s="3" t="s">
        <v>3</v>
      </c>
      <c r="D2" s="4" t="s">
        <v>4</v>
      </c>
      <c r="E2" s="5" t="s">
        <v>5</v>
      </c>
      <c r="F2" s="1" t="e">
        <v>#N/A</v>
      </c>
    </row>
    <row r="4" spans="1:7" x14ac:dyDescent="0.2">
      <c r="A4" s="6" t="s">
        <v>6</v>
      </c>
      <c r="C4" s="7" t="s">
        <v>7</v>
      </c>
      <c r="D4" s="8" t="s">
        <v>7</v>
      </c>
    </row>
    <row r="6" spans="1:7" x14ac:dyDescent="0.2">
      <c r="A6" s="6" t="s">
        <v>8</v>
      </c>
    </row>
    <row r="7" spans="1:7" x14ac:dyDescent="0.2">
      <c r="A7" s="1" t="s">
        <v>9</v>
      </c>
      <c r="C7" s="9">
        <v>51870.02</v>
      </c>
      <c r="D7" s="10" t="s">
        <v>10</v>
      </c>
    </row>
    <row r="8" spans="1:7" x14ac:dyDescent="0.2">
      <c r="A8" s="1" t="s">
        <v>11</v>
      </c>
      <c r="C8" s="9">
        <v>0.339617</v>
      </c>
      <c r="D8" s="10" t="s">
        <v>10</v>
      </c>
    </row>
    <row r="9" spans="1:7" x14ac:dyDescent="0.2">
      <c r="A9" s="11" t="s">
        <v>12</v>
      </c>
      <c r="B9"/>
      <c r="C9" s="12">
        <v>-9.5</v>
      </c>
      <c r="D9" t="s">
        <v>13</v>
      </c>
      <c r="E9"/>
    </row>
    <row r="10" spans="1:7" x14ac:dyDescent="0.2">
      <c r="A10"/>
      <c r="B10"/>
      <c r="C10" s="13" t="s">
        <v>14</v>
      </c>
      <c r="D10" s="13" t="s">
        <v>15</v>
      </c>
      <c r="E10"/>
    </row>
    <row r="11" spans="1:7" x14ac:dyDescent="0.2">
      <c r="A11" t="s">
        <v>16</v>
      </c>
      <c r="B11"/>
      <c r="C11" s="14">
        <f ca="1">INTERCEPT(INDIRECT($G$11):G992,INDIRECT($F$11):F992)</f>
        <v>2.3728851679444265E-3</v>
      </c>
      <c r="D11" s="4"/>
      <c r="E11"/>
      <c r="F11" s="15" t="str">
        <f>"F"&amp;E19</f>
        <v>F21</v>
      </c>
      <c r="G11" s="16" t="str">
        <f>"G"&amp;E19</f>
        <v>G21</v>
      </c>
    </row>
    <row r="12" spans="1:7" x14ac:dyDescent="0.2">
      <c r="A12" t="s">
        <v>17</v>
      </c>
      <c r="B12"/>
      <c r="C12" s="14">
        <f ca="1">SLOPE(INDIRECT($G$11):G992,INDIRECT($F$11):F992)</f>
        <v>-6.3409204738110463E-7</v>
      </c>
      <c r="D12" s="4"/>
      <c r="E12"/>
    </row>
    <row r="13" spans="1:7" x14ac:dyDescent="0.2">
      <c r="A13" t="s">
        <v>18</v>
      </c>
      <c r="B13"/>
      <c r="C13" s="4" t="s">
        <v>19</v>
      </c>
      <c r="D13" s="17" t="s">
        <v>20</v>
      </c>
      <c r="E13" s="12">
        <v>1</v>
      </c>
    </row>
    <row r="14" spans="1:7" x14ac:dyDescent="0.2">
      <c r="A14"/>
      <c r="B14"/>
      <c r="C14"/>
      <c r="D14" s="17" t="s">
        <v>21</v>
      </c>
      <c r="E14" s="14">
        <f ca="1">NOW()+15018.5+$C$9/24</f>
        <v>59968.776356249997</v>
      </c>
    </row>
    <row r="15" spans="1:7" x14ac:dyDescent="0.2">
      <c r="A15" s="18" t="s">
        <v>22</v>
      </c>
      <c r="B15"/>
      <c r="C15" s="19">
        <f ca="1">(C7+C11)+(C8+C12)*INT(MAX(F21:F3533))</f>
        <v>59534.144902329928</v>
      </c>
      <c r="D15" s="17" t="s">
        <v>23</v>
      </c>
      <c r="E15" s="14">
        <f ca="1">ROUND(2*(E14-$C$7)/$C$8,0)/2+E13</f>
        <v>23847.5</v>
      </c>
    </row>
    <row r="16" spans="1:7" x14ac:dyDescent="0.2">
      <c r="A16" s="18" t="s">
        <v>24</v>
      </c>
      <c r="B16"/>
      <c r="C16" s="19">
        <f ca="1">+C8+C12</f>
        <v>0.33961636590795263</v>
      </c>
      <c r="D16" s="17" t="s">
        <v>25</v>
      </c>
      <c r="E16" s="16">
        <f ca="1">ROUND(2*(E14-$C$15)/$C$16,0)/2+E13</f>
        <v>1281</v>
      </c>
    </row>
    <row r="17" spans="1:19" x14ac:dyDescent="0.2">
      <c r="A17" s="17" t="s">
        <v>26</v>
      </c>
      <c r="B17"/>
      <c r="C17">
        <f>COUNT(C21:C2191)</f>
        <v>9</v>
      </c>
      <c r="D17" s="17" t="s">
        <v>27</v>
      </c>
      <c r="E17" s="37">
        <f ca="1">+$C$15+$C$16*E16-15018.5-$C$9/24</f>
        <v>44951.089300391352</v>
      </c>
    </row>
    <row r="18" spans="1:19" x14ac:dyDescent="0.2">
      <c r="A18" s="18" t="s">
        <v>28</v>
      </c>
      <c r="B18"/>
      <c r="C18" s="20">
        <f ca="1">+C15</f>
        <v>59534.144902329928</v>
      </c>
      <c r="D18" s="21">
        <f ca="1">+C16</f>
        <v>0.33961636590795263</v>
      </c>
      <c r="E18" s="22" t="s">
        <v>29</v>
      </c>
    </row>
    <row r="19" spans="1:19" x14ac:dyDescent="0.2">
      <c r="A19" s="23" t="s">
        <v>30</v>
      </c>
      <c r="E19" s="24">
        <v>21</v>
      </c>
      <c r="S19" s="1">
        <f ca="1">SQRT(SUM(S21:S50)/(COUNT(S21:S50)-1))</f>
        <v>2.0737304677603597E-3</v>
      </c>
    </row>
    <row r="20" spans="1:19" x14ac:dyDescent="0.2">
      <c r="A20" s="13" t="s">
        <v>31</v>
      </c>
      <c r="B20" s="13" t="s">
        <v>32</v>
      </c>
      <c r="C20" s="13" t="s">
        <v>33</v>
      </c>
      <c r="D20" s="13" t="s">
        <v>34</v>
      </c>
      <c r="E20" s="13" t="s">
        <v>35</v>
      </c>
      <c r="F20" s="13" t="s">
        <v>36</v>
      </c>
      <c r="G20" s="13" t="s">
        <v>37</v>
      </c>
      <c r="H20" s="25" t="str">
        <f>A21</f>
        <v>VSX</v>
      </c>
      <c r="I20" s="25" t="s">
        <v>38</v>
      </c>
      <c r="J20" s="25" t="s">
        <v>58</v>
      </c>
      <c r="K20" s="25" t="s">
        <v>39</v>
      </c>
      <c r="L20" s="25" t="s">
        <v>40</v>
      </c>
      <c r="M20" s="25" t="s">
        <v>41</v>
      </c>
      <c r="N20" s="25" t="s">
        <v>42</v>
      </c>
      <c r="O20" s="25" t="s">
        <v>43</v>
      </c>
      <c r="P20" s="25" t="s">
        <v>44</v>
      </c>
      <c r="Q20" s="13" t="s">
        <v>45</v>
      </c>
      <c r="R20" s="26" t="s">
        <v>46</v>
      </c>
    </row>
    <row r="21" spans="1:19" x14ac:dyDescent="0.2">
      <c r="A21" s="1" t="str">
        <f>D7</f>
        <v>VSX</v>
      </c>
      <c r="C21" s="9">
        <f>C$7</f>
        <v>51870.02</v>
      </c>
      <c r="D21" s="9" t="s">
        <v>19</v>
      </c>
      <c r="E21" s="1">
        <f t="shared" ref="E21:E27" si="0">+(C21-C$7)/C$8</f>
        <v>0</v>
      </c>
      <c r="F21" s="1">
        <f t="shared" ref="F21:F28" si="1">ROUND(2*E21,0)/2</f>
        <v>0</v>
      </c>
      <c r="G21" s="1">
        <f t="shared" ref="G21:G27" si="2">+C21-(C$7+F21*C$8)</f>
        <v>0</v>
      </c>
      <c r="H21" s="1">
        <f t="shared" ref="H21:H28" si="3">+G21</f>
        <v>0</v>
      </c>
      <c r="O21" s="1">
        <f t="shared" ref="O21:O27" ca="1" si="4">+C$11+C$12*$F21</f>
        <v>2.3728851679444265E-3</v>
      </c>
      <c r="Q21" s="27">
        <f t="shared" ref="Q21:Q27" si="5">+C21-15018.5</f>
        <v>36851.519999999997</v>
      </c>
      <c r="S21" s="1">
        <f t="shared" ref="S21:S27" ca="1" si="6">+(O21-G21)^2</f>
        <v>5.6305840202506489E-6</v>
      </c>
    </row>
    <row r="22" spans="1:19" x14ac:dyDescent="0.2">
      <c r="A22" s="28" t="s">
        <v>47</v>
      </c>
      <c r="B22" s="29" t="s">
        <v>48</v>
      </c>
      <c r="C22" s="28">
        <v>55643.671199999997</v>
      </c>
      <c r="D22" s="28">
        <v>1E-4</v>
      </c>
      <c r="E22" s="1">
        <f t="shared" si="0"/>
        <v>11111.490885320818</v>
      </c>
      <c r="F22" s="1">
        <f t="shared" si="1"/>
        <v>11111.5</v>
      </c>
      <c r="G22" s="1">
        <f t="shared" si="2"/>
        <v>-3.0954999965615571E-3</v>
      </c>
      <c r="I22" s="1">
        <f>+G22</f>
        <v>-3.0954999965615571E-3</v>
      </c>
      <c r="O22" s="1">
        <f t="shared" ca="1" si="4"/>
        <v>-4.6728286165307175E-3</v>
      </c>
      <c r="Q22" s="27">
        <f t="shared" si="5"/>
        <v>40625.171199999997</v>
      </c>
      <c r="S22" s="1">
        <f t="shared" ca="1" si="6"/>
        <v>2.4879655753738163E-6</v>
      </c>
    </row>
    <row r="23" spans="1:19" x14ac:dyDescent="0.2">
      <c r="A23" s="30" t="s">
        <v>49</v>
      </c>
      <c r="B23" s="31" t="s">
        <v>50</v>
      </c>
      <c r="C23" s="30">
        <v>55952.8917</v>
      </c>
      <c r="D23" s="30">
        <v>4.0000000000000002E-4</v>
      </c>
      <c r="E23" s="1">
        <f t="shared" si="0"/>
        <v>12021.988593032749</v>
      </c>
      <c r="F23" s="1">
        <f t="shared" si="1"/>
        <v>12022</v>
      </c>
      <c r="G23" s="1">
        <f t="shared" si="2"/>
        <v>-3.8739999945391901E-3</v>
      </c>
      <c r="I23" s="1">
        <f>+G23</f>
        <v>-3.8739999945391901E-3</v>
      </c>
      <c r="O23" s="1">
        <f t="shared" ca="1" si="4"/>
        <v>-5.2501694256712134E-3</v>
      </c>
      <c r="Q23" s="27">
        <f t="shared" si="5"/>
        <v>40934.3917</v>
      </c>
      <c r="S23" s="1">
        <f t="shared" ca="1" si="6"/>
        <v>1.8938423031822366E-6</v>
      </c>
    </row>
    <row r="24" spans="1:19" x14ac:dyDescent="0.2">
      <c r="A24" s="30" t="s">
        <v>49</v>
      </c>
      <c r="B24" s="31" t="s">
        <v>50</v>
      </c>
      <c r="C24" s="30">
        <v>56013.681199999999</v>
      </c>
      <c r="D24" s="30">
        <v>8.0000000000000004E-4</v>
      </c>
      <c r="E24" s="1">
        <f t="shared" si="0"/>
        <v>12200.982871882155</v>
      </c>
      <c r="F24" s="1">
        <f t="shared" si="1"/>
        <v>12201</v>
      </c>
      <c r="G24" s="1">
        <f t="shared" si="2"/>
        <v>-5.8169999974779785E-3</v>
      </c>
      <c r="I24" s="1">
        <f>+G24</f>
        <v>-5.8169999974779785E-3</v>
      </c>
      <c r="O24" s="1">
        <f t="shared" ca="1" si="4"/>
        <v>-5.3636719021524313E-3</v>
      </c>
      <c r="Q24" s="27">
        <f t="shared" si="5"/>
        <v>40995.181199999999</v>
      </c>
      <c r="S24" s="1">
        <f t="shared" ca="1" si="6"/>
        <v>2.0550636201148839E-7</v>
      </c>
    </row>
    <row r="25" spans="1:19" x14ac:dyDescent="0.2">
      <c r="A25" s="32" t="s">
        <v>51</v>
      </c>
      <c r="B25" s="31" t="s">
        <v>50</v>
      </c>
      <c r="C25" s="30">
        <v>56313.904999999999</v>
      </c>
      <c r="D25" s="30">
        <v>2.0000000000000001E-4</v>
      </c>
      <c r="E25" s="1">
        <f t="shared" si="0"/>
        <v>13084.989856220396</v>
      </c>
      <c r="F25" s="1">
        <f t="shared" si="1"/>
        <v>13085</v>
      </c>
      <c r="G25" s="1">
        <f t="shared" si="2"/>
        <v>-3.4449999948265031E-3</v>
      </c>
      <c r="I25" s="1">
        <f>+G25</f>
        <v>-3.4449999948265031E-3</v>
      </c>
      <c r="O25" s="1">
        <f t="shared" ca="1" si="4"/>
        <v>-5.9242092720373273E-3</v>
      </c>
      <c r="Q25" s="27">
        <f t="shared" si="5"/>
        <v>41295.404999999999</v>
      </c>
      <c r="S25" s="1">
        <f t="shared" ca="1" si="6"/>
        <v>6.1464786402082176E-6</v>
      </c>
    </row>
    <row r="26" spans="1:19" x14ac:dyDescent="0.2">
      <c r="A26" s="33" t="s">
        <v>52</v>
      </c>
      <c r="B26" s="31" t="s">
        <v>50</v>
      </c>
      <c r="C26" s="30">
        <v>58804.307999999997</v>
      </c>
      <c r="D26" s="30" t="s">
        <v>53</v>
      </c>
      <c r="E26" s="1">
        <f t="shared" si="0"/>
        <v>20417.964942862109</v>
      </c>
      <c r="F26" s="1">
        <f t="shared" si="1"/>
        <v>20418</v>
      </c>
      <c r="G26" s="1">
        <f t="shared" si="2"/>
        <v>-1.1905999999726191E-2</v>
      </c>
      <c r="J26" s="1">
        <f>+G26</f>
        <v>-1.1905999999726191E-2</v>
      </c>
      <c r="O26" s="1">
        <f t="shared" ca="1" si="4"/>
        <v>-1.0574006255482968E-2</v>
      </c>
      <c r="Q26" s="27">
        <f t="shared" si="5"/>
        <v>43785.807999999997</v>
      </c>
      <c r="S26" s="1">
        <f t="shared" ca="1" si="6"/>
        <v>1.7742073347030797E-6</v>
      </c>
    </row>
    <row r="27" spans="1:19" x14ac:dyDescent="0.2">
      <c r="A27" s="33" t="s">
        <v>52</v>
      </c>
      <c r="B27" s="31" t="s">
        <v>50</v>
      </c>
      <c r="C27" s="30">
        <v>58804.31</v>
      </c>
      <c r="D27" s="30" t="s">
        <v>54</v>
      </c>
      <c r="E27" s="1">
        <f t="shared" si="0"/>
        <v>20417.970831848819</v>
      </c>
      <c r="F27" s="1">
        <f t="shared" si="1"/>
        <v>20418</v>
      </c>
      <c r="G27" s="1">
        <f t="shared" si="2"/>
        <v>-9.9059999993187375E-3</v>
      </c>
      <c r="J27" s="1">
        <f>+G27</f>
        <v>-9.9059999993187375E-3</v>
      </c>
      <c r="O27" s="1">
        <f t="shared" ca="1" si="4"/>
        <v>-1.0574006255482968E-2</v>
      </c>
      <c r="Q27" s="27">
        <f t="shared" si="5"/>
        <v>43785.81</v>
      </c>
      <c r="S27" s="1">
        <f t="shared" ca="1" si="6"/>
        <v>4.4623235827455215E-7</v>
      </c>
    </row>
    <row r="28" spans="1:19" x14ac:dyDescent="0.2">
      <c r="A28" s="33" t="s">
        <v>52</v>
      </c>
      <c r="B28" s="31" t="s">
        <v>50</v>
      </c>
      <c r="C28" s="30">
        <v>58804.311000000002</v>
      </c>
      <c r="D28" s="30" t="s">
        <v>55</v>
      </c>
      <c r="E28" s="1">
        <f>+(C28-C$7)/C$8</f>
        <v>20417.973776342187</v>
      </c>
      <c r="F28" s="1">
        <f t="shared" si="1"/>
        <v>20418</v>
      </c>
      <c r="G28" s="1">
        <f>+C28-(C$7+F28*C$8)</f>
        <v>-8.9059999954770319E-3</v>
      </c>
      <c r="J28" s="1">
        <f>+G28</f>
        <v>-8.9059999954770319E-3</v>
      </c>
      <c r="O28" s="1">
        <f ca="1">+C$11+C$12*$F28</f>
        <v>-1.0574006255482968E-2</v>
      </c>
      <c r="Q28" s="27">
        <f>+C28-15018.5</f>
        <v>43785.811000000002</v>
      </c>
      <c r="S28" s="1">
        <f ca="1">+(O28-G28)^2</f>
        <v>2.7822448834189921E-6</v>
      </c>
    </row>
    <row r="29" spans="1:19" x14ac:dyDescent="0.2">
      <c r="A29" s="34" t="s">
        <v>57</v>
      </c>
      <c r="B29" s="35" t="s">
        <v>48</v>
      </c>
      <c r="C29" s="36">
        <v>59534.31110000005</v>
      </c>
      <c r="D29" s="34" t="s">
        <v>54</v>
      </c>
      <c r="E29" s="1">
        <f>+(C29-C$7)/C$8</f>
        <v>22567.454220489708</v>
      </c>
      <c r="F29" s="1">
        <f t="shared" ref="F29" si="7">ROUND(2*E29,0)/2</f>
        <v>22567.5</v>
      </c>
      <c r="G29" s="1">
        <f>+C29-(C$7+F29*C$8)</f>
        <v>-1.5547499948297627E-2</v>
      </c>
      <c r="J29" s="1">
        <f>+G29</f>
        <v>-1.5547499948297627E-2</v>
      </c>
      <c r="O29" s="1">
        <f ca="1">+C$11+C$12*$F29</f>
        <v>-1.1936987111328651E-2</v>
      </c>
      <c r="Q29" s="27">
        <f>+C29-15018.5</f>
        <v>44515.81110000005</v>
      </c>
      <c r="S29" s="1">
        <f ca="1">+(O29-G29)^2</f>
        <v>1.3035802945917768E-5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2023-01-24T05:36:02Z</dcterms:created>
  <dcterms:modified xsi:type="dcterms:W3CDTF">2023-01-24T05:37:57Z</dcterms:modified>
</cp:coreProperties>
</file>