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EEB15E24-F9D1-4343-BC93-0B99EF0E4493}" xr6:coauthVersionLast="47" xr6:coauthVersionMax="47" xr10:uidLastSave="{00000000-0000-0000-0000-000000000000}"/>
  <bookViews>
    <workbookView xWindow="14250" yWindow="855" windowWidth="13320" windowHeight="14565"/>
  </bookViews>
  <sheets>
    <sheet name="Active" sheetId="1" r:id="rId1"/>
    <sheet name="BAV" sheetId="2" r:id="rId2"/>
    <sheet name="A (2)" sheetId="3" r:id="rId3"/>
  </sheets>
  <calcPr calcId="181029"/>
</workbook>
</file>

<file path=xl/calcChain.xml><?xml version="1.0" encoding="utf-8"?>
<calcChain xmlns="http://schemas.openxmlformats.org/spreadsheetml/2006/main">
  <c r="E51" i="1" l="1"/>
  <c r="F51" i="1" s="1"/>
  <c r="G51" i="1" s="1"/>
  <c r="K51" i="1" s="1"/>
  <c r="Q51" i="1"/>
  <c r="E52" i="1"/>
  <c r="F52" i="1" s="1"/>
  <c r="G52" i="1" s="1"/>
  <c r="K52" i="1" s="1"/>
  <c r="Q52" i="1"/>
  <c r="E53" i="1"/>
  <c r="F53" i="1"/>
  <c r="G53" i="1" s="1"/>
  <c r="K53" i="1" s="1"/>
  <c r="Q53" i="1"/>
  <c r="E54" i="1"/>
  <c r="F54" i="1"/>
  <c r="G54" i="1"/>
  <c r="K54" i="1" s="1"/>
  <c r="Q54" i="1"/>
  <c r="E55" i="1"/>
  <c r="F55" i="1" s="1"/>
  <c r="G55" i="1" s="1"/>
  <c r="K55" i="1" s="1"/>
  <c r="Q55" i="1"/>
  <c r="E56" i="1"/>
  <c r="F56" i="1"/>
  <c r="G56" i="1" s="1"/>
  <c r="K56" i="1" s="1"/>
  <c r="Q56" i="1"/>
  <c r="E57" i="1"/>
  <c r="F57" i="1" s="1"/>
  <c r="G57" i="1" s="1"/>
  <c r="K57" i="1" s="1"/>
  <c r="Q57" i="1"/>
  <c r="E58" i="1"/>
  <c r="F58" i="1"/>
  <c r="G58" i="1" s="1"/>
  <c r="K58" i="1" s="1"/>
  <c r="Q58" i="1"/>
  <c r="E59" i="1"/>
  <c r="F59" i="1" s="1"/>
  <c r="G59" i="1" s="1"/>
  <c r="K59" i="1" s="1"/>
  <c r="Q59" i="1"/>
  <c r="E60" i="1"/>
  <c r="F60" i="1" s="1"/>
  <c r="G60" i="1" s="1"/>
  <c r="K60" i="1" s="1"/>
  <c r="Q60" i="1"/>
  <c r="E61" i="1"/>
  <c r="F61" i="1"/>
  <c r="G61" i="1" s="1"/>
  <c r="K61" i="1" s="1"/>
  <c r="Q61" i="1"/>
  <c r="E62" i="1"/>
  <c r="F62" i="1"/>
  <c r="G62" i="1"/>
  <c r="K62" i="1" s="1"/>
  <c r="Q62" i="1"/>
  <c r="E63" i="1"/>
  <c r="F63" i="1" s="1"/>
  <c r="G63" i="1" s="1"/>
  <c r="K63" i="1" s="1"/>
  <c r="Q63" i="1"/>
  <c r="E64" i="1"/>
  <c r="F64" i="1"/>
  <c r="G64" i="1" s="1"/>
  <c r="K64" i="1" s="1"/>
  <c r="Q64" i="1"/>
  <c r="E65" i="1"/>
  <c r="F65" i="1" s="1"/>
  <c r="G65" i="1" s="1"/>
  <c r="K65" i="1" s="1"/>
  <c r="Q65" i="1"/>
  <c r="E66" i="1"/>
  <c r="F66" i="1"/>
  <c r="G66" i="1" s="1"/>
  <c r="K66" i="1" s="1"/>
  <c r="Q66" i="1"/>
  <c r="E67" i="1"/>
  <c r="F67" i="1"/>
  <c r="G67" i="1"/>
  <c r="K67" i="1" s="1"/>
  <c r="Q67" i="1"/>
  <c r="E68" i="1"/>
  <c r="F68" i="1" s="1"/>
  <c r="G68" i="1" s="1"/>
  <c r="K68" i="1" s="1"/>
  <c r="Q68" i="1"/>
  <c r="E69" i="1"/>
  <c r="F69" i="1"/>
  <c r="G69" i="1" s="1"/>
  <c r="K69" i="1" s="1"/>
  <c r="Q69" i="1"/>
  <c r="E70" i="1"/>
  <c r="F70" i="1"/>
  <c r="G70" i="1"/>
  <c r="K70" i="1" s="1"/>
  <c r="Q70" i="1"/>
  <c r="C9" i="1"/>
  <c r="D9" i="1"/>
  <c r="F16" i="1"/>
  <c r="F17" i="1" s="1"/>
  <c r="C17" i="1"/>
  <c r="E21" i="1"/>
  <c r="F21" i="1"/>
  <c r="G21" i="1"/>
  <c r="K21" i="1"/>
  <c r="Q21" i="1"/>
  <c r="E22" i="1"/>
  <c r="F22" i="1"/>
  <c r="G22" i="1"/>
  <c r="J22" i="1"/>
  <c r="Q22" i="1"/>
  <c r="E23" i="1"/>
  <c r="F23" i="1"/>
  <c r="G23" i="1"/>
  <c r="K23" i="1"/>
  <c r="Q23" i="1"/>
  <c r="E24" i="1"/>
  <c r="F24" i="1"/>
  <c r="G24" i="1"/>
  <c r="K24" i="1"/>
  <c r="Q24" i="1"/>
  <c r="E25" i="1"/>
  <c r="F25" i="1"/>
  <c r="G25" i="1"/>
  <c r="K25" i="1"/>
  <c r="Q25" i="1"/>
  <c r="E26" i="1"/>
  <c r="F26" i="1"/>
  <c r="G26" i="1"/>
  <c r="K26" i="1"/>
  <c r="Q26" i="1"/>
  <c r="E27" i="1"/>
  <c r="F27" i="1"/>
  <c r="G27" i="1"/>
  <c r="K27" i="1"/>
  <c r="Q27" i="1"/>
  <c r="E28" i="1"/>
  <c r="F28" i="1"/>
  <c r="G28" i="1"/>
  <c r="K28" i="1"/>
  <c r="Q28" i="1"/>
  <c r="E29" i="1"/>
  <c r="F29" i="1"/>
  <c r="G29" i="1"/>
  <c r="K29" i="1"/>
  <c r="Q29" i="1"/>
  <c r="E30" i="1"/>
  <c r="F30" i="1"/>
  <c r="G30" i="1"/>
  <c r="K30" i="1"/>
  <c r="Q30" i="1"/>
  <c r="E31" i="1"/>
  <c r="F31" i="1"/>
  <c r="G31" i="1"/>
  <c r="K31" i="1"/>
  <c r="Q31" i="1"/>
  <c r="E32" i="1"/>
  <c r="F32" i="1"/>
  <c r="G32" i="1"/>
  <c r="K32" i="1"/>
  <c r="Q32" i="1"/>
  <c r="E33" i="1"/>
  <c r="F33" i="1"/>
  <c r="G33" i="1"/>
  <c r="K33" i="1"/>
  <c r="Q33" i="1"/>
  <c r="E34" i="1"/>
  <c r="F34" i="1"/>
  <c r="G34" i="1"/>
  <c r="K34" i="1"/>
  <c r="Q34" i="1"/>
  <c r="E35" i="1"/>
  <c r="F35" i="1"/>
  <c r="G35" i="1"/>
  <c r="K35" i="1"/>
  <c r="Q35" i="1"/>
  <c r="E36" i="1"/>
  <c r="F36" i="1"/>
  <c r="G36" i="1"/>
  <c r="K36" i="1"/>
  <c r="Q36" i="1"/>
  <c r="E37" i="1"/>
  <c r="F37" i="1"/>
  <c r="G37" i="1"/>
  <c r="K37" i="1"/>
  <c r="Q37" i="1"/>
  <c r="E38" i="1"/>
  <c r="F38" i="1"/>
  <c r="G38" i="1"/>
  <c r="K38" i="1"/>
  <c r="Q38" i="1"/>
  <c r="E39" i="1"/>
  <c r="F39" i="1"/>
  <c r="G39" i="1"/>
  <c r="K39" i="1"/>
  <c r="Q39" i="1"/>
  <c r="E40" i="1"/>
  <c r="F40" i="1"/>
  <c r="G40" i="1"/>
  <c r="K40" i="1"/>
  <c r="Q40" i="1"/>
  <c r="E41" i="1"/>
  <c r="F41" i="1"/>
  <c r="G41" i="1"/>
  <c r="K41" i="1"/>
  <c r="Q41" i="1"/>
  <c r="E42" i="1"/>
  <c r="F42" i="1"/>
  <c r="G42" i="1"/>
  <c r="K42" i="1"/>
  <c r="Q42" i="1"/>
  <c r="E43" i="1"/>
  <c r="F43" i="1"/>
  <c r="G43" i="1"/>
  <c r="K43" i="1"/>
  <c r="Q43" i="1"/>
  <c r="E44" i="1"/>
  <c r="F44" i="1"/>
  <c r="G44" i="1"/>
  <c r="K44" i="1"/>
  <c r="Q44" i="1"/>
  <c r="E45" i="1"/>
  <c r="F45" i="1"/>
  <c r="G45" i="1"/>
  <c r="K45" i="1"/>
  <c r="Q45" i="1"/>
  <c r="E46" i="1"/>
  <c r="F46" i="1"/>
  <c r="G46" i="1"/>
  <c r="K46" i="1"/>
  <c r="Q46" i="1"/>
  <c r="E47" i="1"/>
  <c r="F47" i="1"/>
  <c r="G47" i="1"/>
  <c r="K47" i="1"/>
  <c r="Q47" i="1"/>
  <c r="E48" i="1"/>
  <c r="F48" i="1"/>
  <c r="G48" i="1"/>
  <c r="K48" i="1"/>
  <c r="Q48" i="1"/>
  <c r="E49" i="1"/>
  <c r="F49" i="1"/>
  <c r="G49" i="1"/>
  <c r="K49" i="1"/>
  <c r="Q49" i="1"/>
  <c r="E50" i="1"/>
  <c r="F50" i="1"/>
  <c r="G50" i="1"/>
  <c r="K50" i="1"/>
  <c r="Q50" i="1"/>
  <c r="F11" i="3"/>
  <c r="G11" i="3"/>
  <c r="E15" i="3"/>
  <c r="C17" i="3"/>
  <c r="E21" i="3"/>
  <c r="F21" i="3"/>
  <c r="G21" i="3"/>
  <c r="I21" i="3"/>
  <c r="Q21" i="3"/>
  <c r="E22" i="3"/>
  <c r="F22" i="3"/>
  <c r="G22" i="3"/>
  <c r="I22" i="3"/>
  <c r="Q22" i="3"/>
  <c r="E23" i="3"/>
  <c r="F23" i="3"/>
  <c r="G23" i="3"/>
  <c r="I23" i="3"/>
  <c r="Q23" i="3"/>
  <c r="E24" i="3"/>
  <c r="F24" i="3"/>
  <c r="G24" i="3"/>
  <c r="I24" i="3"/>
  <c r="Q24" i="3"/>
  <c r="E25" i="3"/>
  <c r="F25" i="3"/>
  <c r="G25" i="3"/>
  <c r="I25" i="3"/>
  <c r="Q25" i="3"/>
  <c r="E26" i="3"/>
  <c r="F26" i="3"/>
  <c r="G26" i="3"/>
  <c r="I26" i="3"/>
  <c r="Q26" i="3"/>
  <c r="E27" i="3"/>
  <c r="F27" i="3"/>
  <c r="G27" i="3"/>
  <c r="I27" i="3"/>
  <c r="Q27" i="3"/>
  <c r="A11" i="2"/>
  <c r="D11" i="2"/>
  <c r="G11" i="2"/>
  <c r="C11" i="2"/>
  <c r="E11" i="2"/>
  <c r="H11" i="2"/>
  <c r="B11" i="2"/>
  <c r="A12" i="2"/>
  <c r="D12" i="2"/>
  <c r="G12" i="2"/>
  <c r="C12" i="2"/>
  <c r="E12" i="2"/>
  <c r="H12" i="2"/>
  <c r="B12" i="2"/>
  <c r="A13" i="2"/>
  <c r="B13" i="2"/>
  <c r="C13" i="2"/>
  <c r="E13" i="2"/>
  <c r="D13" i="2"/>
  <c r="G13" i="2"/>
  <c r="H13" i="2"/>
  <c r="A14" i="2"/>
  <c r="C14" i="2"/>
  <c r="E14" i="2"/>
  <c r="D14" i="2"/>
  <c r="G14" i="2"/>
  <c r="H14" i="2"/>
  <c r="B14" i="2"/>
  <c r="A15" i="2"/>
  <c r="B15" i="2"/>
  <c r="D15" i="2"/>
  <c r="G15" i="2"/>
  <c r="C15" i="2"/>
  <c r="E15" i="2"/>
  <c r="H15" i="2"/>
  <c r="A16" i="2"/>
  <c r="C16" i="2"/>
  <c r="E16" i="2"/>
  <c r="D16" i="2"/>
  <c r="G16" i="2"/>
  <c r="H16" i="2"/>
  <c r="B16" i="2"/>
  <c r="A17" i="2"/>
  <c r="D17" i="2"/>
  <c r="G17" i="2"/>
  <c r="C17" i="2"/>
  <c r="E17" i="2"/>
  <c r="H17" i="2"/>
  <c r="B17" i="2"/>
  <c r="A18" i="2"/>
  <c r="C18" i="2"/>
  <c r="D18" i="2"/>
  <c r="E18" i="2"/>
  <c r="G18" i="2"/>
  <c r="H18" i="2"/>
  <c r="B18" i="2"/>
  <c r="A19" i="2"/>
  <c r="B19" i="2"/>
  <c r="D19" i="2"/>
  <c r="G19" i="2"/>
  <c r="C19" i="2"/>
  <c r="E19" i="2"/>
  <c r="H19" i="2"/>
  <c r="A20" i="2"/>
  <c r="C20" i="2"/>
  <c r="D20" i="2"/>
  <c r="E20" i="2"/>
  <c r="G20" i="2"/>
  <c r="H20" i="2"/>
  <c r="B20" i="2"/>
  <c r="A21" i="2"/>
  <c r="B21" i="2"/>
  <c r="C21" i="2"/>
  <c r="E21" i="2"/>
  <c r="D21" i="2"/>
  <c r="G21" i="2"/>
  <c r="H21" i="2"/>
  <c r="A22" i="2"/>
  <c r="C22" i="2"/>
  <c r="E22" i="2"/>
  <c r="D22" i="2"/>
  <c r="G22" i="2"/>
  <c r="H22" i="2"/>
  <c r="B22" i="2"/>
  <c r="A23" i="2"/>
  <c r="B23" i="2"/>
  <c r="D23" i="2"/>
  <c r="G23" i="2"/>
  <c r="C23" i="2"/>
  <c r="E23" i="2"/>
  <c r="H23" i="2"/>
  <c r="A24" i="2"/>
  <c r="C24" i="2"/>
  <c r="E24" i="2"/>
  <c r="D24" i="2"/>
  <c r="G24" i="2"/>
  <c r="H24" i="2"/>
  <c r="B24" i="2"/>
  <c r="A25" i="2"/>
  <c r="D25" i="2"/>
  <c r="G25" i="2"/>
  <c r="C25" i="2"/>
  <c r="E25" i="2"/>
  <c r="H25" i="2"/>
  <c r="B25" i="2"/>
  <c r="A26" i="2"/>
  <c r="C26" i="2"/>
  <c r="D26" i="2"/>
  <c r="E26" i="2"/>
  <c r="G26" i="2"/>
  <c r="H26" i="2"/>
  <c r="B26" i="2"/>
  <c r="A27" i="2"/>
  <c r="B27" i="2"/>
  <c r="D27" i="2"/>
  <c r="G27" i="2"/>
  <c r="C27" i="2"/>
  <c r="E27" i="2"/>
  <c r="H27" i="2"/>
  <c r="C12" i="1"/>
  <c r="C11" i="1"/>
  <c r="C11" i="3"/>
  <c r="C12" i="3"/>
  <c r="O55" i="1" l="1"/>
  <c r="S55" i="1" s="1"/>
  <c r="O63" i="1"/>
  <c r="S63" i="1" s="1"/>
  <c r="O54" i="1"/>
  <c r="S54" i="1" s="1"/>
  <c r="O62" i="1"/>
  <c r="S62" i="1" s="1"/>
  <c r="O70" i="1"/>
  <c r="S70" i="1" s="1"/>
  <c r="O64" i="1"/>
  <c r="S64" i="1" s="1"/>
  <c r="O53" i="1"/>
  <c r="S53" i="1" s="1"/>
  <c r="O61" i="1"/>
  <c r="S61" i="1" s="1"/>
  <c r="O69" i="1"/>
  <c r="S69" i="1" s="1"/>
  <c r="O52" i="1"/>
  <c r="S52" i="1" s="1"/>
  <c r="O60" i="1"/>
  <c r="S60" i="1" s="1"/>
  <c r="O68" i="1"/>
  <c r="S68" i="1" s="1"/>
  <c r="O56" i="1"/>
  <c r="S56" i="1" s="1"/>
  <c r="O51" i="1"/>
  <c r="S51" i="1" s="1"/>
  <c r="O59" i="1"/>
  <c r="S59" i="1" s="1"/>
  <c r="O67" i="1"/>
  <c r="S67" i="1" s="1"/>
  <c r="O58" i="1"/>
  <c r="S58" i="1" s="1"/>
  <c r="O66" i="1"/>
  <c r="S66" i="1" s="1"/>
  <c r="O57" i="1"/>
  <c r="S57" i="1" s="1"/>
  <c r="O65" i="1"/>
  <c r="S65" i="1" s="1"/>
  <c r="C16" i="3"/>
  <c r="D18" i="3" s="1"/>
  <c r="O21" i="3"/>
  <c r="R21" i="3" s="1"/>
  <c r="O24" i="3"/>
  <c r="R24" i="3" s="1"/>
  <c r="O22" i="3"/>
  <c r="R22" i="3" s="1"/>
  <c r="O27" i="3"/>
  <c r="R27" i="3" s="1"/>
  <c r="O26" i="3"/>
  <c r="R26" i="3" s="1"/>
  <c r="O23" i="3"/>
  <c r="R23" i="3" s="1"/>
  <c r="C15" i="3"/>
  <c r="O25" i="3"/>
  <c r="R25" i="3" s="1"/>
  <c r="O32" i="1"/>
  <c r="S32" i="1" s="1"/>
  <c r="O22" i="1"/>
  <c r="S22" i="1" s="1"/>
  <c r="O23" i="1"/>
  <c r="S23" i="1" s="1"/>
  <c r="O50" i="1"/>
  <c r="S50" i="1" s="1"/>
  <c r="O46" i="1"/>
  <c r="S46" i="1" s="1"/>
  <c r="O37" i="1"/>
  <c r="S37" i="1" s="1"/>
  <c r="O26" i="1"/>
  <c r="S26" i="1" s="1"/>
  <c r="O34" i="1"/>
  <c r="S34" i="1" s="1"/>
  <c r="O43" i="1"/>
  <c r="S43" i="1" s="1"/>
  <c r="O24" i="1"/>
  <c r="S24" i="1" s="1"/>
  <c r="C15" i="1"/>
  <c r="O27" i="1"/>
  <c r="S27" i="1" s="1"/>
  <c r="O21" i="1"/>
  <c r="S21" i="1" s="1"/>
  <c r="O49" i="1"/>
  <c r="S49" i="1" s="1"/>
  <c r="O38" i="1"/>
  <c r="S38" i="1" s="1"/>
  <c r="O30" i="1"/>
  <c r="S30" i="1" s="1"/>
  <c r="O35" i="1"/>
  <c r="S35" i="1" s="1"/>
  <c r="O42" i="1"/>
  <c r="S42" i="1" s="1"/>
  <c r="O28" i="1"/>
  <c r="S28" i="1" s="1"/>
  <c r="O31" i="1"/>
  <c r="S31" i="1" s="1"/>
  <c r="O29" i="1"/>
  <c r="S29" i="1" s="1"/>
  <c r="O33" i="1"/>
  <c r="S33" i="1" s="1"/>
  <c r="O40" i="1"/>
  <c r="S40" i="1" s="1"/>
  <c r="O36" i="1"/>
  <c r="S36" i="1" s="1"/>
  <c r="O44" i="1"/>
  <c r="S44" i="1" s="1"/>
  <c r="O45" i="1"/>
  <c r="S45" i="1" s="1"/>
  <c r="O39" i="1"/>
  <c r="S39" i="1" s="1"/>
  <c r="O25" i="1"/>
  <c r="S25" i="1" s="1"/>
  <c r="O47" i="1"/>
  <c r="S47" i="1" s="1"/>
  <c r="O41" i="1"/>
  <c r="S41" i="1" s="1"/>
  <c r="O48" i="1"/>
  <c r="S48" i="1" s="1"/>
  <c r="C16" i="1"/>
  <c r="D18" i="1" s="1"/>
  <c r="E16" i="3" l="1"/>
  <c r="E17" i="3" s="1"/>
  <c r="C18" i="3"/>
  <c r="S18" i="1"/>
  <c r="C18" i="1"/>
  <c r="F18" i="1"/>
  <c r="F19" i="1" s="1"/>
  <c r="R18" i="3"/>
</calcChain>
</file>

<file path=xl/sharedStrings.xml><?xml version="1.0" encoding="utf-8"?>
<sst xmlns="http://schemas.openxmlformats.org/spreadsheetml/2006/main" count="390" uniqueCount="164">
  <si>
    <t>VY Sex / GSC 04917-00022</t>
  </si>
  <si>
    <t>System Type:</t>
  </si>
  <si>
    <t>IBVS 5075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</si>
  <si>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</si>
  <si>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</si>
  <si>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</si>
  <si>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</si>
  <si>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</si>
  <si>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</si>
  <si>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</si>
  <si>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</si>
  <si>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</si>
  <si>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</si>
  <si>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</si>
  <si>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</si>
  <si>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</si>
  <si>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</si>
  <si>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</si>
  <si>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</si>
  <si>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</si>
  <si>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</si>
  <si>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</si>
  <si>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</si>
  <si>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</si>
  <si>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</si>
  <si>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</si>
  <si>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</si>
  <si>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</si>
  <si>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</si>
  <si>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</si>
  <si>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</si>
  <si>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</si>
  <si>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</si>
  <si>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</si>
  <si>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</si>
  <si>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</si>
  <si>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</si>
  <si>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</si>
  <si>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</si>
  <si>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</si>
  <si>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</si>
  <si>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</si>
  <si>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IBVS 5075</t>
  </si>
  <si>
    <t>IBVS 5484</t>
  </si>
  <si>
    <t>IBVS 5603</t>
  </si>
  <si>
    <t>I</t>
  </si>
  <si>
    <t>IBVS 5843</t>
  </si>
  <si>
    <t>II</t>
  </si>
  <si>
    <t>IBVS 6165</t>
  </si>
  <si>
    <t>VSB 46 </t>
  </si>
  <si>
    <t>VSB 48 </t>
  </si>
  <si>
    <t>VSB 50 </t>
  </si>
  <si>
    <t>VSB 53 </t>
  </si>
  <si>
    <t>VSB 55 </t>
  </si>
  <si>
    <t>IBVS 6157</t>
  </si>
  <si>
    <t>VSB 59 </t>
  </si>
  <si>
    <t>OEJV 0172</t>
  </si>
  <si>
    <t>VSB-059</t>
  </si>
  <si>
    <t>Ic</t>
  </si>
  <si>
    <t>VSB-063</t>
  </si>
  <si>
    <t>V</t>
  </si>
  <si>
    <t>OEJV 0191</t>
  </si>
  <si>
    <t>OEJV 0198</t>
  </si>
  <si>
    <t>VSB 067</t>
  </si>
  <si>
    <t>cG</t>
  </si>
  <si>
    <t>VSB 069</t>
  </si>
  <si>
    <t>B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</si>
  <si>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</si>
  <si>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</si>
  <si>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</si>
  <si>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</si>
  <si>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</si>
  <si>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</si>
  <si>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2452309.4066 </t>
  </si>
  <si>
    <t> 03.02.2002 21:45 </t>
  </si>
  <si>
    <t> -0.0161 </t>
  </si>
  <si>
    <t>E </t>
  </si>
  <si>
    <t>o</t>
  </si>
  <si>
    <t> K. &amp; M.Rätz </t>
  </si>
  <si>
    <t>BAVM 158 </t>
  </si>
  <si>
    <t>2453118.6939 </t>
  </si>
  <si>
    <t> 23.04.2004 04:39 </t>
  </si>
  <si>
    <t> 0.0012 </t>
  </si>
  <si>
    <t>?</t>
  </si>
  <si>
    <t> S.Dvorak </t>
  </si>
  <si>
    <t>IBVS 5603 </t>
  </si>
  <si>
    <t>2453410.7003 </t>
  </si>
  <si>
    <t> 09.02.2005 04:48 </t>
  </si>
  <si>
    <t> 0.0053 </t>
  </si>
  <si>
    <t>C </t>
  </si>
  <si>
    <t>-I</t>
  </si>
  <si>
    <t> W.Ogloza et al. </t>
  </si>
  <si>
    <t>IBVS 5843 </t>
  </si>
  <si>
    <t>2453411.8060 </t>
  </si>
  <si>
    <t> 10.02.2005 07:20 </t>
  </si>
  <si>
    <t>2056</t>
  </si>
  <si>
    <t> 0.0024 </t>
  </si>
  <si>
    <t>2453413.7982 </t>
  </si>
  <si>
    <t> 12.02.2005 07:09 </t>
  </si>
  <si>
    <t>2060.5</t>
  </si>
  <si>
    <t> -0.0009 </t>
  </si>
  <si>
    <t>2453459.6932 </t>
  </si>
  <si>
    <t> 30.03.2005 04:38 </t>
  </si>
  <si>
    <t>2164</t>
  </si>
  <si>
    <t> -0.0014 </t>
  </si>
  <si>
    <t>2456727.3692 </t>
  </si>
  <si>
    <t> 10.03.2014 20:51 </t>
  </si>
  <si>
    <t>9533</t>
  </si>
  <si>
    <t> -0.0024 </t>
  </si>
  <si>
    <t> M.&amp; K.Rätz </t>
  </si>
  <si>
    <t>BAVM 241 (=IBVS 6157) </t>
  </si>
  <si>
    <t>2457013.606 </t>
  </si>
  <si>
    <t> 22.12.2014 02:32 </t>
  </si>
  <si>
    <t>10178.5</t>
  </si>
  <si>
    <t> -0.003 </t>
  </si>
  <si>
    <t> A.Paschke </t>
  </si>
  <si>
    <t>OEJV 0172 </t>
  </si>
  <si>
    <t>2454147.2401 </t>
  </si>
  <si>
    <t> 15.02.2007 17:45 </t>
  </si>
  <si>
    <t>3714.5</t>
  </si>
  <si>
    <t> K.Nakajima </t>
  </si>
  <si>
    <t>2454174.0699 </t>
  </si>
  <si>
    <t> 14.03.2007 13:40 </t>
  </si>
  <si>
    <t>3775</t>
  </si>
  <si>
    <t> 0.0005 </t>
  </si>
  <si>
    <t> K.Nagai </t>
  </si>
  <si>
    <t>2454832.3514 </t>
  </si>
  <si>
    <t> 31.12.2008 20:26 </t>
  </si>
  <si>
    <t>5259.5</t>
  </si>
  <si>
    <t> 0.0019 </t>
  </si>
  <si>
    <t>2454907.0676 </t>
  </si>
  <si>
    <t> 16.03.2009 13:37 </t>
  </si>
  <si>
    <t>5428</t>
  </si>
  <si>
    <t> -0.0008 </t>
  </si>
  <si>
    <t>2455626.1006 </t>
  </si>
  <si>
    <t> 05.03.2011 14:24 </t>
  </si>
  <si>
    <t>7049.5</t>
  </si>
  <si>
    <t> 0.0013 </t>
  </si>
  <si>
    <t>2455656.0319 </t>
  </si>
  <si>
    <t> 04.04.2011 12:45 </t>
  </si>
  <si>
    <t>7117</t>
  </si>
  <si>
    <t> 0.0007 </t>
  </si>
  <si>
    <t>Rc</t>
  </si>
  <si>
    <t>2456018.9822 </t>
  </si>
  <si>
    <t> 01.04.2012 11:34 </t>
  </si>
  <si>
    <t>7935.5</t>
  </si>
  <si>
    <t> -0.0010 </t>
  </si>
  <si>
    <t>2456026.9638 </t>
  </si>
  <si>
    <t> 09.04.2012 11:07 </t>
  </si>
  <si>
    <t>7953.5</t>
  </si>
  <si>
    <t> -0.0012 </t>
  </si>
  <si>
    <t>2456740.0055 </t>
  </si>
  <si>
    <t> 23.03.2014 12:07 </t>
  </si>
  <si>
    <t>9561.5</t>
  </si>
  <si>
    <t> -0.0040 </t>
  </si>
  <si>
    <t>EW</t>
  </si>
  <si>
    <t>Cycle count may not be right.</t>
  </si>
  <si>
    <t>Local time</t>
  </si>
  <si>
    <t>GCVS 4</t>
  </si>
  <si>
    <t>IBVS</t>
  </si>
  <si>
    <t>S3</t>
  </si>
  <si>
    <t>S4</t>
  </si>
  <si>
    <t>VSB, 91</t>
  </si>
  <si>
    <t>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</si>
</sst>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\$#,##0_);&quot;($&quot;#,##0\)"/>
    <numFmt numFmtId="165" formatCode="m/d/yyyy\ h:mm"/>
    <numFmt numFmtId="166" formatCode="m/d/yyyy"/>
    <numFmt numFmtId="167" formatCode="0.000"/>
    <numFmt numFmtId="168" formatCode="mm/dd/yy"/>
    <numFmt numFmtId="169" formatCode="0.000000000"/>
    <numFmt numFmtId="170" formatCode="dd/mm/yyyy"/>
  </numFmts>
  <fonts count="20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i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8" fillId="0" borderId="0"/>
    <xf numFmtId="0" fontId="18" fillId="0" borderId="0"/>
  </cellStyleXfs>
  <cellXfs count="80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>
      <alignment vertical="top"/>
    </xf>
    <xf numFmtId="0" fontId="4" fillId="0" borderId="0" xfId="0" applyFont="1">
      <alignment vertical="top"/>
    </xf>
    <xf numFmtId="0" fontId="0" fillId="0" borderId="0" xfId="0" applyNumberFormat="1" applyFont="1" applyAlignment="1">
      <alignment horizontal="left" vertical="center"/>
    </xf>
    <xf numFmtId="0" fontId="5" fillId="0" borderId="0" xfId="0" applyFont="1" applyAlignment="1"/>
    <xf numFmtId="0" fontId="6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Font="1" applyBorder="1" applyAlignment="1">
      <alignment horizontal="center"/>
    </xf>
    <xf numFmtId="0" fontId="7" fillId="0" borderId="0" xfId="0" applyFont="1">
      <alignment vertical="top"/>
    </xf>
    <xf numFmtId="0" fontId="2" fillId="0" borderId="0" xfId="0" applyFont="1">
      <alignment vertical="top"/>
    </xf>
    <xf numFmtId="0" fontId="7" fillId="0" borderId="0" xfId="0" applyFont="1" applyAlignment="1">
      <alignment horizontal="center"/>
    </xf>
    <xf numFmtId="0" fontId="6" fillId="0" borderId="0" xfId="0" applyFont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7" fillId="0" borderId="0" xfId="0" applyNumberFormat="1" applyFont="1">
      <alignment vertical="top"/>
    </xf>
    <xf numFmtId="0" fontId="2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166" fontId="0" fillId="0" borderId="0" xfId="0" applyNumberFormat="1" applyAlignment="1"/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>
      <alignment vertical="top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2" fillId="0" borderId="0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167" fontId="5" fillId="0" borderId="0" xfId="0" applyNumberFormat="1" applyFont="1" applyFill="1" applyBorder="1" applyAlignment="1" applyProtection="1">
      <alignment horizontal="left" vertical="top"/>
    </xf>
    <xf numFmtId="0" fontId="13" fillId="0" borderId="0" xfId="7" applyFont="1" applyAlignment="1">
      <alignment horizontal="left"/>
    </xf>
    <xf numFmtId="0" fontId="13" fillId="0" borderId="0" xfId="7" applyFont="1" applyAlignment="1">
      <alignment horizontal="center"/>
    </xf>
    <xf numFmtId="0" fontId="7" fillId="0" borderId="0" xfId="7" applyFont="1" applyAlignment="1">
      <alignment horizontal="left"/>
    </xf>
    <xf numFmtId="0" fontId="7" fillId="0" borderId="0" xfId="7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/>
    </xf>
    <xf numFmtId="0" fontId="0" fillId="0" borderId="6" xfId="0" applyFont="1" applyBorder="1" applyAlignment="1">
      <alignment horizontal="center"/>
    </xf>
    <xf numFmtId="0" fontId="0" fillId="0" borderId="7" xfId="0" applyFont="1" applyBorder="1">
      <alignment vertical="top"/>
    </xf>
    <xf numFmtId="0" fontId="15" fillId="0" borderId="0" xfId="5" applyNumberFormat="1" applyFont="1" applyFill="1" applyBorder="1" applyAlignment="1" applyProtection="1">
      <alignment horizontal="left"/>
    </xf>
    <xf numFmtId="0" fontId="0" fillId="0" borderId="8" xfId="0" applyFont="1" applyBorder="1" applyAlignment="1">
      <alignment horizontal="center"/>
    </xf>
    <xf numFmtId="0" fontId="0" fillId="0" borderId="9" xfId="0" applyFont="1" applyBorder="1">
      <alignment vertical="top"/>
    </xf>
    <xf numFmtId="0" fontId="5" fillId="2" borderId="10" xfId="0" applyFont="1" applyFill="1" applyBorder="1" applyAlignment="1">
      <alignment horizontal="left" vertical="top" wrapText="1" indent="1"/>
    </xf>
    <xf numFmtId="0" fontId="5" fillId="2" borderId="10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right" vertical="top" wrapText="1"/>
    </xf>
    <xf numFmtId="0" fontId="15" fillId="2" borderId="10" xfId="5" applyNumberFormat="1" applyFont="1" applyFill="1" applyBorder="1" applyAlignment="1" applyProtection="1">
      <alignment horizontal="right" vertical="top" wrapText="1"/>
    </xf>
    <xf numFmtId="0" fontId="16" fillId="0" borderId="0" xfId="0" applyFont="1" applyAlignment="1">
      <alignment horizontal="left"/>
    </xf>
    <xf numFmtId="168" fontId="7" fillId="0" borderId="0" xfId="0" applyNumberFormat="1" applyFont="1">
      <alignment vertical="top"/>
    </xf>
    <xf numFmtId="0" fontId="7" fillId="0" borderId="0" xfId="0" applyFont="1" applyAlignment="1">
      <alignment horizontal="right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169" fontId="19" fillId="0" borderId="0" xfId="0" applyNumberFormat="1" applyFont="1" applyAlignment="1">
      <alignment horizontal="right" vertical="center" wrapText="1"/>
    </xf>
    <xf numFmtId="0" fontId="19" fillId="0" borderId="0" xfId="0" applyFont="1" applyAlignment="1"/>
    <xf numFmtId="170" fontId="0" fillId="0" borderId="0" xfId="0" applyNumberFormat="1" applyAlignment="1"/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VY Sex - O-C Diagr.</a:t>
            </a:r>
          </a:p>
        </c:rich>
      </c:tx>
      <c:layout>
        <c:manualLayout>
          <c:xMode val="edge"/>
          <c:yMode val="edge"/>
          <c:x val="0.37318289171850288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234375"/>
          <c:w val="0.80452405950567596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663</c:v>
                </c:pt>
                <c:pt idx="2">
                  <c:v>2488</c:v>
                </c:pt>
                <c:pt idx="3">
                  <c:v>3146.5</c:v>
                </c:pt>
                <c:pt idx="4">
                  <c:v>3149</c:v>
                </c:pt>
                <c:pt idx="5">
                  <c:v>3153.5</c:v>
                </c:pt>
                <c:pt idx="6">
                  <c:v>3257</c:v>
                </c:pt>
                <c:pt idx="7">
                  <c:v>3346.5</c:v>
                </c:pt>
                <c:pt idx="8">
                  <c:v>3348.5</c:v>
                </c:pt>
                <c:pt idx="9">
                  <c:v>4807.5</c:v>
                </c:pt>
                <c:pt idx="10">
                  <c:v>4868</c:v>
                </c:pt>
                <c:pt idx="11">
                  <c:v>6352.5</c:v>
                </c:pt>
                <c:pt idx="12">
                  <c:v>6521</c:v>
                </c:pt>
                <c:pt idx="13">
                  <c:v>8142.5</c:v>
                </c:pt>
                <c:pt idx="14">
                  <c:v>8210</c:v>
                </c:pt>
                <c:pt idx="15">
                  <c:v>9028.5</c:v>
                </c:pt>
                <c:pt idx="16">
                  <c:v>9046.5</c:v>
                </c:pt>
                <c:pt idx="17">
                  <c:v>10626</c:v>
                </c:pt>
                <c:pt idx="18">
                  <c:v>10654.5</c:v>
                </c:pt>
                <c:pt idx="19">
                  <c:v>11271.5</c:v>
                </c:pt>
                <c:pt idx="20">
                  <c:v>10654.5</c:v>
                </c:pt>
                <c:pt idx="21">
                  <c:v>12226.5</c:v>
                </c:pt>
                <c:pt idx="22">
                  <c:v>12289.5</c:v>
                </c:pt>
                <c:pt idx="23">
                  <c:v>13979.5</c:v>
                </c:pt>
                <c:pt idx="24">
                  <c:v>14249</c:v>
                </c:pt>
                <c:pt idx="25">
                  <c:v>14317</c:v>
                </c:pt>
                <c:pt idx="26">
                  <c:v>14628.5</c:v>
                </c:pt>
                <c:pt idx="27">
                  <c:v>16218.5</c:v>
                </c:pt>
                <c:pt idx="28">
                  <c:v>16218.5</c:v>
                </c:pt>
                <c:pt idx="29">
                  <c:v>16218.5</c:v>
                </c:pt>
              </c:numCache>
            </c:numRef>
          </c:xVal>
          <c:yVal>
            <c:numRef>
              <c:f>Active!$H$21:$H$50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A5-4413-80BB-A10D7B857AE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663</c:v>
                </c:pt>
                <c:pt idx="2">
                  <c:v>2488</c:v>
                </c:pt>
                <c:pt idx="3">
                  <c:v>3146.5</c:v>
                </c:pt>
                <c:pt idx="4">
                  <c:v>3149</c:v>
                </c:pt>
                <c:pt idx="5">
                  <c:v>3153.5</c:v>
                </c:pt>
                <c:pt idx="6">
                  <c:v>3257</c:v>
                </c:pt>
                <c:pt idx="7">
                  <c:v>3346.5</c:v>
                </c:pt>
                <c:pt idx="8">
                  <c:v>3348.5</c:v>
                </c:pt>
                <c:pt idx="9">
                  <c:v>4807.5</c:v>
                </c:pt>
                <c:pt idx="10">
                  <c:v>4868</c:v>
                </c:pt>
                <c:pt idx="11">
                  <c:v>6352.5</c:v>
                </c:pt>
                <c:pt idx="12">
                  <c:v>6521</c:v>
                </c:pt>
                <c:pt idx="13">
                  <c:v>8142.5</c:v>
                </c:pt>
                <c:pt idx="14">
                  <c:v>8210</c:v>
                </c:pt>
                <c:pt idx="15">
                  <c:v>9028.5</c:v>
                </c:pt>
                <c:pt idx="16">
                  <c:v>9046.5</c:v>
                </c:pt>
                <c:pt idx="17">
                  <c:v>10626</c:v>
                </c:pt>
                <c:pt idx="18">
                  <c:v>10654.5</c:v>
                </c:pt>
                <c:pt idx="19">
                  <c:v>11271.5</c:v>
                </c:pt>
                <c:pt idx="20">
                  <c:v>10654.5</c:v>
                </c:pt>
                <c:pt idx="21">
                  <c:v>12226.5</c:v>
                </c:pt>
                <c:pt idx="22">
                  <c:v>12289.5</c:v>
                </c:pt>
                <c:pt idx="23">
                  <c:v>13979.5</c:v>
                </c:pt>
                <c:pt idx="24">
                  <c:v>14249</c:v>
                </c:pt>
                <c:pt idx="25">
                  <c:v>14317</c:v>
                </c:pt>
                <c:pt idx="26">
                  <c:v>14628.5</c:v>
                </c:pt>
                <c:pt idx="27">
                  <c:v>16218.5</c:v>
                </c:pt>
                <c:pt idx="28">
                  <c:v>16218.5</c:v>
                </c:pt>
                <c:pt idx="29">
                  <c:v>16218.5</c:v>
                </c:pt>
              </c:numCache>
            </c:numRef>
          </c:xVal>
          <c:yVal>
            <c:numRef>
              <c:f>Active!$I$21:$I$50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A5-4413-80BB-A10D7B857AE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663</c:v>
                </c:pt>
                <c:pt idx="2">
                  <c:v>2488</c:v>
                </c:pt>
                <c:pt idx="3">
                  <c:v>3146.5</c:v>
                </c:pt>
                <c:pt idx="4">
                  <c:v>3149</c:v>
                </c:pt>
                <c:pt idx="5">
                  <c:v>3153.5</c:v>
                </c:pt>
                <c:pt idx="6">
                  <c:v>3257</c:v>
                </c:pt>
                <c:pt idx="7">
                  <c:v>3346.5</c:v>
                </c:pt>
                <c:pt idx="8">
                  <c:v>3348.5</c:v>
                </c:pt>
                <c:pt idx="9">
                  <c:v>4807.5</c:v>
                </c:pt>
                <c:pt idx="10">
                  <c:v>4868</c:v>
                </c:pt>
                <c:pt idx="11">
                  <c:v>6352.5</c:v>
                </c:pt>
                <c:pt idx="12">
                  <c:v>6521</c:v>
                </c:pt>
                <c:pt idx="13">
                  <c:v>8142.5</c:v>
                </c:pt>
                <c:pt idx="14">
                  <c:v>8210</c:v>
                </c:pt>
                <c:pt idx="15">
                  <c:v>9028.5</c:v>
                </c:pt>
                <c:pt idx="16">
                  <c:v>9046.5</c:v>
                </c:pt>
                <c:pt idx="17">
                  <c:v>10626</c:v>
                </c:pt>
                <c:pt idx="18">
                  <c:v>10654.5</c:v>
                </c:pt>
                <c:pt idx="19">
                  <c:v>11271.5</c:v>
                </c:pt>
                <c:pt idx="20">
                  <c:v>10654.5</c:v>
                </c:pt>
                <c:pt idx="21">
                  <c:v>12226.5</c:v>
                </c:pt>
                <c:pt idx="22">
                  <c:v>12289.5</c:v>
                </c:pt>
                <c:pt idx="23">
                  <c:v>13979.5</c:v>
                </c:pt>
                <c:pt idx="24">
                  <c:v>14249</c:v>
                </c:pt>
                <c:pt idx="25">
                  <c:v>14317</c:v>
                </c:pt>
                <c:pt idx="26">
                  <c:v>14628.5</c:v>
                </c:pt>
                <c:pt idx="27">
                  <c:v>16218.5</c:v>
                </c:pt>
                <c:pt idx="28">
                  <c:v>16218.5</c:v>
                </c:pt>
                <c:pt idx="29">
                  <c:v>16218.5</c:v>
                </c:pt>
              </c:numCache>
            </c:numRef>
          </c:xVal>
          <c:yVal>
            <c:numRef>
              <c:f>Active!$J$21:$J$50</c:f>
              <c:numCache>
                <c:formatCode>General</c:formatCode>
                <c:ptCount val="30"/>
                <c:pt idx="1">
                  <c:v>-2.4215999997977633E-2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A5-4413-80BB-A10D7B857AE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663</c:v>
                </c:pt>
                <c:pt idx="2">
                  <c:v>2488</c:v>
                </c:pt>
                <c:pt idx="3">
                  <c:v>3146.5</c:v>
                </c:pt>
                <c:pt idx="4">
                  <c:v>3149</c:v>
                </c:pt>
                <c:pt idx="5">
                  <c:v>3153.5</c:v>
                </c:pt>
                <c:pt idx="6">
                  <c:v>3257</c:v>
                </c:pt>
                <c:pt idx="7">
                  <c:v>3346.5</c:v>
                </c:pt>
                <c:pt idx="8">
                  <c:v>3348.5</c:v>
                </c:pt>
                <c:pt idx="9">
                  <c:v>4807.5</c:v>
                </c:pt>
                <c:pt idx="10">
                  <c:v>4868</c:v>
                </c:pt>
                <c:pt idx="11">
                  <c:v>6352.5</c:v>
                </c:pt>
                <c:pt idx="12">
                  <c:v>6521</c:v>
                </c:pt>
                <c:pt idx="13">
                  <c:v>8142.5</c:v>
                </c:pt>
                <c:pt idx="14">
                  <c:v>8210</c:v>
                </c:pt>
                <c:pt idx="15">
                  <c:v>9028.5</c:v>
                </c:pt>
                <c:pt idx="16">
                  <c:v>9046.5</c:v>
                </c:pt>
                <c:pt idx="17">
                  <c:v>10626</c:v>
                </c:pt>
                <c:pt idx="18">
                  <c:v>10654.5</c:v>
                </c:pt>
                <c:pt idx="19">
                  <c:v>11271.5</c:v>
                </c:pt>
                <c:pt idx="20">
                  <c:v>10654.5</c:v>
                </c:pt>
                <c:pt idx="21">
                  <c:v>12226.5</c:v>
                </c:pt>
                <c:pt idx="22">
                  <c:v>12289.5</c:v>
                </c:pt>
                <c:pt idx="23">
                  <c:v>13979.5</c:v>
                </c:pt>
                <c:pt idx="24">
                  <c:v>14249</c:v>
                </c:pt>
                <c:pt idx="25">
                  <c:v>14317</c:v>
                </c:pt>
                <c:pt idx="26">
                  <c:v>14628.5</c:v>
                </c:pt>
                <c:pt idx="27">
                  <c:v>16218.5</c:v>
                </c:pt>
                <c:pt idx="28">
                  <c:v>16218.5</c:v>
                </c:pt>
                <c:pt idx="29">
                  <c:v>16218.5</c:v>
                </c:pt>
              </c:numCache>
            </c:numRef>
          </c:xVal>
          <c:yVal>
            <c:numRef>
              <c:f>Active!$K$21:$K$50</c:f>
              <c:numCache>
                <c:formatCode>General</c:formatCode>
                <c:ptCount val="30"/>
                <c:pt idx="0">
                  <c:v>0</c:v>
                </c:pt>
                <c:pt idx="2">
                  <c:v>-3.1600000511389226E-4</c:v>
                </c:pt>
                <c:pt idx="3">
                  <c:v>6.1119999954826199E-3</c:v>
                </c:pt>
                <c:pt idx="4">
                  <c:v>3.2319999954779632E-3</c:v>
                </c:pt>
                <c:pt idx="5">
                  <c:v>-1.200000406242907E-5</c:v>
                </c:pt>
                <c:pt idx="6">
                  <c:v>-2.2400000307243317E-4</c:v>
                </c:pt>
                <c:pt idx="7">
                  <c:v>1.1200000153621659E-4</c:v>
                </c:pt>
                <c:pt idx="8">
                  <c:v>-6.520000024465844E-4</c:v>
                </c:pt>
                <c:pt idx="9">
                  <c:v>5.3600000028382055E-3</c:v>
                </c:pt>
                <c:pt idx="10">
                  <c:v>7.5240000005578622E-3</c:v>
                </c:pt>
                <c:pt idx="11">
                  <c:v>1.4219999997294508E-2</c:v>
                </c:pt>
                <c:pt idx="12">
                  <c:v>1.2128000002121553E-2</c:v>
                </c:pt>
                <c:pt idx="13">
                  <c:v>2.0139999993261881E-2</c:v>
                </c:pt>
                <c:pt idx="14">
                  <c:v>1.9780000002356246E-2</c:v>
                </c:pt>
                <c:pt idx="15">
                  <c:v>2.0987999996577855E-2</c:v>
                </c:pt>
                <c:pt idx="16">
                  <c:v>2.0811999995203223E-2</c:v>
                </c:pt>
                <c:pt idx="17">
                  <c:v>2.536800000234507E-2</c:v>
                </c:pt>
                <c:pt idx="18">
                  <c:v>2.385599999979604E-2</c:v>
                </c:pt>
                <c:pt idx="19">
                  <c:v>2.6811999996425584E-2</c:v>
                </c:pt>
                <c:pt idx="20">
                  <c:v>2.385599997069221E-2</c:v>
                </c:pt>
                <c:pt idx="21">
                  <c:v>2.8851999995822553E-2</c:v>
                </c:pt>
                <c:pt idx="22">
                  <c:v>2.8935999995155726E-2</c:v>
                </c:pt>
                <c:pt idx="23">
                  <c:v>3.295599999546539E-2</c:v>
                </c:pt>
                <c:pt idx="24">
                  <c:v>4.7731999991810881E-2</c:v>
                </c:pt>
                <c:pt idx="25">
                  <c:v>-4.0844000002834946E-2</c:v>
                </c:pt>
                <c:pt idx="26">
                  <c:v>3.6487999997916631E-2</c:v>
                </c:pt>
                <c:pt idx="27">
                  <c:v>4.0107999993779231E-2</c:v>
                </c:pt>
                <c:pt idx="28">
                  <c:v>4.0807999997923616E-2</c:v>
                </c:pt>
                <c:pt idx="29">
                  <c:v>4.2507999991357792E-2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A5-4413-80BB-A10D7B857AE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663</c:v>
                </c:pt>
                <c:pt idx="2">
                  <c:v>2488</c:v>
                </c:pt>
                <c:pt idx="3">
                  <c:v>3146.5</c:v>
                </c:pt>
                <c:pt idx="4">
                  <c:v>3149</c:v>
                </c:pt>
                <c:pt idx="5">
                  <c:v>3153.5</c:v>
                </c:pt>
                <c:pt idx="6">
                  <c:v>3257</c:v>
                </c:pt>
                <c:pt idx="7">
                  <c:v>3346.5</c:v>
                </c:pt>
                <c:pt idx="8">
                  <c:v>3348.5</c:v>
                </c:pt>
                <c:pt idx="9">
                  <c:v>4807.5</c:v>
                </c:pt>
                <c:pt idx="10">
                  <c:v>4868</c:v>
                </c:pt>
                <c:pt idx="11">
                  <c:v>6352.5</c:v>
                </c:pt>
                <c:pt idx="12">
                  <c:v>6521</c:v>
                </c:pt>
                <c:pt idx="13">
                  <c:v>8142.5</c:v>
                </c:pt>
                <c:pt idx="14">
                  <c:v>8210</c:v>
                </c:pt>
                <c:pt idx="15">
                  <c:v>9028.5</c:v>
                </c:pt>
                <c:pt idx="16">
                  <c:v>9046.5</c:v>
                </c:pt>
                <c:pt idx="17">
                  <c:v>10626</c:v>
                </c:pt>
                <c:pt idx="18">
                  <c:v>10654.5</c:v>
                </c:pt>
                <c:pt idx="19">
                  <c:v>11271.5</c:v>
                </c:pt>
                <c:pt idx="20">
                  <c:v>10654.5</c:v>
                </c:pt>
                <c:pt idx="21">
                  <c:v>12226.5</c:v>
                </c:pt>
                <c:pt idx="22">
                  <c:v>12289.5</c:v>
                </c:pt>
                <c:pt idx="23">
                  <c:v>13979.5</c:v>
                </c:pt>
                <c:pt idx="24">
                  <c:v>14249</c:v>
                </c:pt>
                <c:pt idx="25">
                  <c:v>14317</c:v>
                </c:pt>
                <c:pt idx="26">
                  <c:v>14628.5</c:v>
                </c:pt>
                <c:pt idx="27">
                  <c:v>16218.5</c:v>
                </c:pt>
                <c:pt idx="28">
                  <c:v>16218.5</c:v>
                </c:pt>
                <c:pt idx="29">
                  <c:v>16218.5</c:v>
                </c:pt>
              </c:numCache>
            </c:numRef>
          </c:xVal>
          <c:yVal>
            <c:numRef>
              <c:f>Active!$L$21:$L$50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A5-4413-80BB-A10D7B857AE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663</c:v>
                </c:pt>
                <c:pt idx="2">
                  <c:v>2488</c:v>
                </c:pt>
                <c:pt idx="3">
                  <c:v>3146.5</c:v>
                </c:pt>
                <c:pt idx="4">
                  <c:v>3149</c:v>
                </c:pt>
                <c:pt idx="5">
                  <c:v>3153.5</c:v>
                </c:pt>
                <c:pt idx="6">
                  <c:v>3257</c:v>
                </c:pt>
                <c:pt idx="7">
                  <c:v>3346.5</c:v>
                </c:pt>
                <c:pt idx="8">
                  <c:v>3348.5</c:v>
                </c:pt>
                <c:pt idx="9">
                  <c:v>4807.5</c:v>
                </c:pt>
                <c:pt idx="10">
                  <c:v>4868</c:v>
                </c:pt>
                <c:pt idx="11">
                  <c:v>6352.5</c:v>
                </c:pt>
                <c:pt idx="12">
                  <c:v>6521</c:v>
                </c:pt>
                <c:pt idx="13">
                  <c:v>8142.5</c:v>
                </c:pt>
                <c:pt idx="14">
                  <c:v>8210</c:v>
                </c:pt>
                <c:pt idx="15">
                  <c:v>9028.5</c:v>
                </c:pt>
                <c:pt idx="16">
                  <c:v>9046.5</c:v>
                </c:pt>
                <c:pt idx="17">
                  <c:v>10626</c:v>
                </c:pt>
                <c:pt idx="18">
                  <c:v>10654.5</c:v>
                </c:pt>
                <c:pt idx="19">
                  <c:v>11271.5</c:v>
                </c:pt>
                <c:pt idx="20">
                  <c:v>10654.5</c:v>
                </c:pt>
                <c:pt idx="21">
                  <c:v>12226.5</c:v>
                </c:pt>
                <c:pt idx="22">
                  <c:v>12289.5</c:v>
                </c:pt>
                <c:pt idx="23">
                  <c:v>13979.5</c:v>
                </c:pt>
                <c:pt idx="24">
                  <c:v>14249</c:v>
                </c:pt>
                <c:pt idx="25">
                  <c:v>14317</c:v>
                </c:pt>
                <c:pt idx="26">
                  <c:v>14628.5</c:v>
                </c:pt>
                <c:pt idx="27">
                  <c:v>16218.5</c:v>
                </c:pt>
                <c:pt idx="28">
                  <c:v>16218.5</c:v>
                </c:pt>
                <c:pt idx="29">
                  <c:v>16218.5</c:v>
                </c:pt>
              </c:numCache>
            </c:numRef>
          </c:xVal>
          <c:yVal>
            <c:numRef>
              <c:f>Active!$M$21:$M$50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A5-4413-80BB-A10D7B857AE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663</c:v>
                </c:pt>
                <c:pt idx="2">
                  <c:v>2488</c:v>
                </c:pt>
                <c:pt idx="3">
                  <c:v>3146.5</c:v>
                </c:pt>
                <c:pt idx="4">
                  <c:v>3149</c:v>
                </c:pt>
                <c:pt idx="5">
                  <c:v>3153.5</c:v>
                </c:pt>
                <c:pt idx="6">
                  <c:v>3257</c:v>
                </c:pt>
                <c:pt idx="7">
                  <c:v>3346.5</c:v>
                </c:pt>
                <c:pt idx="8">
                  <c:v>3348.5</c:v>
                </c:pt>
                <c:pt idx="9">
                  <c:v>4807.5</c:v>
                </c:pt>
                <c:pt idx="10">
                  <c:v>4868</c:v>
                </c:pt>
                <c:pt idx="11">
                  <c:v>6352.5</c:v>
                </c:pt>
                <c:pt idx="12">
                  <c:v>6521</c:v>
                </c:pt>
                <c:pt idx="13">
                  <c:v>8142.5</c:v>
                </c:pt>
                <c:pt idx="14">
                  <c:v>8210</c:v>
                </c:pt>
                <c:pt idx="15">
                  <c:v>9028.5</c:v>
                </c:pt>
                <c:pt idx="16">
                  <c:v>9046.5</c:v>
                </c:pt>
                <c:pt idx="17">
                  <c:v>10626</c:v>
                </c:pt>
                <c:pt idx="18">
                  <c:v>10654.5</c:v>
                </c:pt>
                <c:pt idx="19">
                  <c:v>11271.5</c:v>
                </c:pt>
                <c:pt idx="20">
                  <c:v>10654.5</c:v>
                </c:pt>
                <c:pt idx="21">
                  <c:v>12226.5</c:v>
                </c:pt>
                <c:pt idx="22">
                  <c:v>12289.5</c:v>
                </c:pt>
                <c:pt idx="23">
                  <c:v>13979.5</c:v>
                </c:pt>
                <c:pt idx="24">
                  <c:v>14249</c:v>
                </c:pt>
                <c:pt idx="25">
                  <c:v>14317</c:v>
                </c:pt>
                <c:pt idx="26">
                  <c:v>14628.5</c:v>
                </c:pt>
                <c:pt idx="27">
                  <c:v>16218.5</c:v>
                </c:pt>
                <c:pt idx="28">
                  <c:v>16218.5</c:v>
                </c:pt>
                <c:pt idx="29">
                  <c:v>16218.5</c:v>
                </c:pt>
              </c:numCache>
            </c:numRef>
          </c:xVal>
          <c:yVal>
            <c:numRef>
              <c:f>Active!$N$21:$N$50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A5-4413-80BB-A10D7B857AE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663</c:v>
                </c:pt>
                <c:pt idx="2">
                  <c:v>2488</c:v>
                </c:pt>
                <c:pt idx="3">
                  <c:v>3146.5</c:v>
                </c:pt>
                <c:pt idx="4">
                  <c:v>3149</c:v>
                </c:pt>
                <c:pt idx="5">
                  <c:v>3153.5</c:v>
                </c:pt>
                <c:pt idx="6">
                  <c:v>3257</c:v>
                </c:pt>
                <c:pt idx="7">
                  <c:v>3346.5</c:v>
                </c:pt>
                <c:pt idx="8">
                  <c:v>3348.5</c:v>
                </c:pt>
                <c:pt idx="9">
                  <c:v>4807.5</c:v>
                </c:pt>
                <c:pt idx="10">
                  <c:v>4868</c:v>
                </c:pt>
                <c:pt idx="11">
                  <c:v>6352.5</c:v>
                </c:pt>
                <c:pt idx="12">
                  <c:v>6521</c:v>
                </c:pt>
                <c:pt idx="13">
                  <c:v>8142.5</c:v>
                </c:pt>
                <c:pt idx="14">
                  <c:v>8210</c:v>
                </c:pt>
                <c:pt idx="15">
                  <c:v>9028.5</c:v>
                </c:pt>
                <c:pt idx="16">
                  <c:v>9046.5</c:v>
                </c:pt>
                <c:pt idx="17">
                  <c:v>10626</c:v>
                </c:pt>
                <c:pt idx="18">
                  <c:v>10654.5</c:v>
                </c:pt>
                <c:pt idx="19">
                  <c:v>11271.5</c:v>
                </c:pt>
                <c:pt idx="20">
                  <c:v>10654.5</c:v>
                </c:pt>
                <c:pt idx="21">
                  <c:v>12226.5</c:v>
                </c:pt>
                <c:pt idx="22">
                  <c:v>12289.5</c:v>
                </c:pt>
                <c:pt idx="23">
                  <c:v>13979.5</c:v>
                </c:pt>
                <c:pt idx="24">
                  <c:v>14249</c:v>
                </c:pt>
                <c:pt idx="25">
                  <c:v>14317</c:v>
                </c:pt>
                <c:pt idx="26">
                  <c:v>14628.5</c:v>
                </c:pt>
                <c:pt idx="27">
                  <c:v>16218.5</c:v>
                </c:pt>
                <c:pt idx="28">
                  <c:v>16218.5</c:v>
                </c:pt>
                <c:pt idx="29">
                  <c:v>16218.5</c:v>
                </c:pt>
              </c:numCache>
            </c:numRef>
          </c:xVal>
          <c:yVal>
            <c:numRef>
              <c:f>Active!$O$21:$O$50</c:f>
              <c:numCache>
                <c:formatCode>General</c:formatCode>
                <c:ptCount val="30"/>
                <c:pt idx="0">
                  <c:v>-7.8821797165236802E-3</c:v>
                </c:pt>
                <c:pt idx="1">
                  <c:v>-5.9987237218818859E-3</c:v>
                </c:pt>
                <c:pt idx="2">
                  <c:v>-8.142483218497986E-4</c:v>
                </c:pt>
                <c:pt idx="3">
                  <c:v>1.0564240348193144E-3</c:v>
                </c:pt>
                <c:pt idx="4">
                  <c:v>1.0635260559152485E-3</c:v>
                </c:pt>
                <c:pt idx="5">
                  <c:v>1.0763096938879307E-3</c:v>
                </c:pt>
                <c:pt idx="6">
                  <c:v>1.370333367259613E-3</c:v>
                </c:pt>
                <c:pt idx="7">
                  <c:v>1.6245857224940641E-3</c:v>
                </c:pt>
                <c:pt idx="8">
                  <c:v>1.6302673393708104E-3</c:v>
                </c:pt>
                <c:pt idx="9">
                  <c:v>5.775006850958107E-3</c:v>
                </c:pt>
                <c:pt idx="10">
                  <c:v>5.9468757614797186E-3</c:v>
                </c:pt>
                <c:pt idx="11">
                  <c:v>1.0164055888245545E-2</c:v>
                </c:pt>
                <c:pt idx="12">
                  <c:v>1.0642732110111523E-2</c:v>
                </c:pt>
                <c:pt idx="13">
                  <c:v>1.5249102992934555E-2</c:v>
                </c:pt>
                <c:pt idx="14">
                  <c:v>1.5440857562524783E-2</c:v>
                </c:pt>
                <c:pt idx="15">
                  <c:v>1.7766059269333691E-2</c:v>
                </c:pt>
                <c:pt idx="16">
                  <c:v>1.781719382122442E-2</c:v>
                </c:pt>
                <c:pt idx="17">
                  <c:v>2.2304250749635754E-2</c:v>
                </c:pt>
                <c:pt idx="18">
                  <c:v>2.2385213790129404E-2</c:v>
                </c:pt>
                <c:pt idx="19">
                  <c:v>2.4137992596606008E-2</c:v>
                </c:pt>
                <c:pt idx="20">
                  <c:v>2.2385213790129404E-2</c:v>
                </c:pt>
                <c:pt idx="21">
                  <c:v>2.6850964655252937E-2</c:v>
                </c:pt>
                <c:pt idx="22">
                  <c:v>2.7029935586870484E-2</c:v>
                </c:pt>
                <c:pt idx="23">
                  <c:v>3.183090184772211E-2</c:v>
                </c:pt>
                <c:pt idx="24">
                  <c:v>3.2596499721863834E-2</c:v>
                </c:pt>
                <c:pt idx="25">
                  <c:v>3.2789674695673246E-2</c:v>
                </c:pt>
                <c:pt idx="26">
                  <c:v>3.3674586524226668E-2</c:v>
                </c:pt>
                <c:pt idx="27">
                  <c:v>3.8191471941240937E-2</c:v>
                </c:pt>
                <c:pt idx="28">
                  <c:v>3.8191471941240937E-2</c:v>
                </c:pt>
                <c:pt idx="29">
                  <c:v>3.8191471941240937E-2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A5-4413-80BB-A10D7B857AE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663</c:v>
                </c:pt>
                <c:pt idx="2">
                  <c:v>2488</c:v>
                </c:pt>
                <c:pt idx="3">
                  <c:v>3146.5</c:v>
                </c:pt>
                <c:pt idx="4">
                  <c:v>3149</c:v>
                </c:pt>
                <c:pt idx="5">
                  <c:v>3153.5</c:v>
                </c:pt>
                <c:pt idx="6">
                  <c:v>3257</c:v>
                </c:pt>
                <c:pt idx="7">
                  <c:v>3346.5</c:v>
                </c:pt>
                <c:pt idx="8">
                  <c:v>3348.5</c:v>
                </c:pt>
                <c:pt idx="9">
                  <c:v>4807.5</c:v>
                </c:pt>
                <c:pt idx="10">
                  <c:v>4868</c:v>
                </c:pt>
                <c:pt idx="11">
                  <c:v>6352.5</c:v>
                </c:pt>
                <c:pt idx="12">
                  <c:v>6521</c:v>
                </c:pt>
                <c:pt idx="13">
                  <c:v>8142.5</c:v>
                </c:pt>
                <c:pt idx="14">
                  <c:v>8210</c:v>
                </c:pt>
                <c:pt idx="15">
                  <c:v>9028.5</c:v>
                </c:pt>
                <c:pt idx="16">
                  <c:v>9046.5</c:v>
                </c:pt>
                <c:pt idx="17">
                  <c:v>10626</c:v>
                </c:pt>
                <c:pt idx="18">
                  <c:v>10654.5</c:v>
                </c:pt>
                <c:pt idx="19">
                  <c:v>11271.5</c:v>
                </c:pt>
                <c:pt idx="20">
                  <c:v>10654.5</c:v>
                </c:pt>
                <c:pt idx="21">
                  <c:v>12226.5</c:v>
                </c:pt>
                <c:pt idx="22">
                  <c:v>12289.5</c:v>
                </c:pt>
                <c:pt idx="23">
                  <c:v>13979.5</c:v>
                </c:pt>
                <c:pt idx="24">
                  <c:v>14249</c:v>
                </c:pt>
                <c:pt idx="25">
                  <c:v>14317</c:v>
                </c:pt>
                <c:pt idx="26">
                  <c:v>14628.5</c:v>
                </c:pt>
                <c:pt idx="27">
                  <c:v>16218.5</c:v>
                </c:pt>
                <c:pt idx="28">
                  <c:v>16218.5</c:v>
                </c:pt>
                <c:pt idx="29">
                  <c:v>16218.5</c:v>
                </c:pt>
              </c:numCache>
            </c:numRef>
          </c:xVal>
          <c:yVal>
            <c:numRef>
              <c:f>Active!$U$21:$U$50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2A5-4413-80BB-A10D7B857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99760"/>
        <c:axId val="1"/>
      </c:scatterChart>
      <c:valAx>
        <c:axId val="728499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631825101022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997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24249594002687"/>
          <c:y val="0.91249999999999998"/>
          <c:w val="0.77706045225768428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VY Sex - O-C Diagr.</a:t>
            </a:r>
          </a:p>
        </c:rich>
      </c:tx>
      <c:layout>
        <c:manualLayout>
          <c:xMode val="edge"/>
          <c:yMode val="edge"/>
          <c:x val="0.37480114028808598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4599460787138"/>
          <c:y val="0.234375"/>
          <c:w val="0.81180349725175882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663</c:v>
                </c:pt>
                <c:pt idx="2">
                  <c:v>2488.5</c:v>
                </c:pt>
                <c:pt idx="3">
                  <c:v>3147</c:v>
                </c:pt>
                <c:pt idx="4">
                  <c:v>3149.5</c:v>
                </c:pt>
                <c:pt idx="5">
                  <c:v>3154</c:v>
                </c:pt>
                <c:pt idx="6">
                  <c:v>3257.5</c:v>
                </c:pt>
              </c:numCache>
            </c:numRef>
          </c:xVal>
          <c:yVal>
            <c:numRef>
              <c:f>'A (2)'!$H$21:$H$27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B5-438A-8FCD-D6CA4D579BA7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663</c:v>
                </c:pt>
                <c:pt idx="2">
                  <c:v>2488.5</c:v>
                </c:pt>
                <c:pt idx="3">
                  <c:v>3147</c:v>
                </c:pt>
                <c:pt idx="4">
                  <c:v>3149.5</c:v>
                </c:pt>
                <c:pt idx="5">
                  <c:v>3154</c:v>
                </c:pt>
                <c:pt idx="6">
                  <c:v>3257.5</c:v>
                </c:pt>
              </c:numCache>
            </c:numRef>
          </c:xVal>
          <c:yVal>
            <c:numRef>
              <c:f>'A (2)'!$I$21:$I$27</c:f>
              <c:numCache>
                <c:formatCode>General</c:formatCode>
                <c:ptCount val="7"/>
                <c:pt idx="0">
                  <c:v>0</c:v>
                </c:pt>
                <c:pt idx="1">
                  <c:v>-2.4215999997977633E-2</c:v>
                </c:pt>
                <c:pt idx="2">
                  <c:v>-0.22203200000512879</c:v>
                </c:pt>
                <c:pt idx="3">
                  <c:v>-0.21560400000453228</c:v>
                </c:pt>
                <c:pt idx="4">
                  <c:v>-0.21848400000453694</c:v>
                </c:pt>
                <c:pt idx="5">
                  <c:v>-0.22172800000407733</c:v>
                </c:pt>
                <c:pt idx="6">
                  <c:v>-0.22194000000308733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B5-438A-8FCD-D6CA4D579BA7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663</c:v>
                </c:pt>
                <c:pt idx="2">
                  <c:v>2488.5</c:v>
                </c:pt>
                <c:pt idx="3">
                  <c:v>3147</c:v>
                </c:pt>
                <c:pt idx="4">
                  <c:v>3149.5</c:v>
                </c:pt>
                <c:pt idx="5">
                  <c:v>3154</c:v>
                </c:pt>
                <c:pt idx="6">
                  <c:v>3257.5</c:v>
                </c:pt>
              </c:numCache>
            </c:numRef>
          </c:xVal>
          <c:yVal>
            <c:numRef>
              <c:f>'A (2)'!$J$21:$J$27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B5-438A-8FCD-D6CA4D579BA7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663</c:v>
                </c:pt>
                <c:pt idx="2">
                  <c:v>2488.5</c:v>
                </c:pt>
                <c:pt idx="3">
                  <c:v>3147</c:v>
                </c:pt>
                <c:pt idx="4">
                  <c:v>3149.5</c:v>
                </c:pt>
                <c:pt idx="5">
                  <c:v>3154</c:v>
                </c:pt>
                <c:pt idx="6">
                  <c:v>3257.5</c:v>
                </c:pt>
              </c:numCache>
            </c:numRef>
          </c:xVal>
          <c:yVal>
            <c:numRef>
              <c:f>'A (2)'!$K$21:$K$27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B5-438A-8FCD-D6CA4D579BA7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663</c:v>
                </c:pt>
                <c:pt idx="2">
                  <c:v>2488.5</c:v>
                </c:pt>
                <c:pt idx="3">
                  <c:v>3147</c:v>
                </c:pt>
                <c:pt idx="4">
                  <c:v>3149.5</c:v>
                </c:pt>
                <c:pt idx="5">
                  <c:v>3154</c:v>
                </c:pt>
                <c:pt idx="6">
                  <c:v>3257.5</c:v>
                </c:pt>
              </c:numCache>
            </c:numRef>
          </c:xVal>
          <c:yVal>
            <c:numRef>
              <c:f>'A (2)'!$L$21:$L$27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B5-438A-8FCD-D6CA4D579BA7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663</c:v>
                </c:pt>
                <c:pt idx="2">
                  <c:v>2488.5</c:v>
                </c:pt>
                <c:pt idx="3">
                  <c:v>3147</c:v>
                </c:pt>
                <c:pt idx="4">
                  <c:v>3149.5</c:v>
                </c:pt>
                <c:pt idx="5">
                  <c:v>3154</c:v>
                </c:pt>
                <c:pt idx="6">
                  <c:v>3257.5</c:v>
                </c:pt>
              </c:numCache>
            </c:numRef>
          </c:xVal>
          <c:yVal>
            <c:numRef>
              <c:f>'A (2)'!$M$21:$M$27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B5-438A-8FCD-D6CA4D579BA7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663</c:v>
                </c:pt>
                <c:pt idx="2">
                  <c:v>2488.5</c:v>
                </c:pt>
                <c:pt idx="3">
                  <c:v>3147</c:v>
                </c:pt>
                <c:pt idx="4">
                  <c:v>3149.5</c:v>
                </c:pt>
                <c:pt idx="5">
                  <c:v>3154</c:v>
                </c:pt>
                <c:pt idx="6">
                  <c:v>3257.5</c:v>
                </c:pt>
              </c:numCache>
            </c:numRef>
          </c:xVal>
          <c:yVal>
            <c:numRef>
              <c:f>'A (2)'!$N$21:$N$27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B5-438A-8FCD-D6CA4D579BA7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663</c:v>
                </c:pt>
                <c:pt idx="2">
                  <c:v>2488.5</c:v>
                </c:pt>
                <c:pt idx="3">
                  <c:v>3147</c:v>
                </c:pt>
                <c:pt idx="4">
                  <c:v>3149.5</c:v>
                </c:pt>
                <c:pt idx="5">
                  <c:v>3154</c:v>
                </c:pt>
                <c:pt idx="6">
                  <c:v>3257.5</c:v>
                </c:pt>
              </c:numCache>
            </c:numRef>
          </c:xVal>
          <c:yVal>
            <c:numRef>
              <c:f>'A (2)'!$O$21:$O$27</c:f>
              <c:numCache>
                <c:formatCode>General</c:formatCode>
                <c:ptCount val="7"/>
                <c:pt idx="0">
                  <c:v>5.2101961974528599E-3</c:v>
                </c:pt>
                <c:pt idx="1">
                  <c:v>-4.3303008668097838E-2</c:v>
                </c:pt>
                <c:pt idx="2">
                  <c:v>-0.17687895962143538</c:v>
                </c:pt>
                <c:pt idx="3">
                  <c:v>-0.22506288934083982</c:v>
                </c:pt>
                <c:pt idx="4">
                  <c:v>-0.22524581997758775</c:v>
                </c:pt>
                <c:pt idx="5">
                  <c:v>-0.225575095123734</c:v>
                </c:pt>
                <c:pt idx="6">
                  <c:v>-0.23314842348509826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B5-438A-8FCD-D6CA4D579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99432"/>
        <c:axId val="1"/>
      </c:scatterChart>
      <c:valAx>
        <c:axId val="728499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34214503091425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994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341341303628911"/>
          <c:y val="0.91249999999999998"/>
          <c:w val="0.89792814175739999"/>
          <c:h val="0.974999999999999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9525</xdr:rowOff>
    </xdr:from>
    <xdr:to>
      <xdr:col>16</xdr:col>
      <xdr:colOff>371475</xdr:colOff>
      <xdr:row>18</xdr:row>
      <xdr:rowOff>47625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23771C8-564A-7474-2DD5-E6F29CC8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19050</xdr:rowOff>
    </xdr:from>
    <xdr:to>
      <xdr:col>15</xdr:col>
      <xdr:colOff>219075</xdr:colOff>
      <xdr:row>18</xdr:row>
      <xdr:rowOff>57150</xdr:rowOff>
    </xdr:to>
    <xdr:graphicFrame macro="">
      <xdr:nvGraphicFramePr>
        <xdr:cNvPr id="3074" name="Chart 1">
          <a:extLst>
            <a:ext uri="{FF2B5EF4-FFF2-40B4-BE49-F238E27FC236}">
              <a16:creationId xmlns:a16="http://schemas.microsoft.com/office/drawing/2014/main" id="{94EF0328-93FB-286F-2CBD-C1B00288D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72.pdf" TargetMode="External"/><Relationship Id="rId13" Type="http://schemas.openxmlformats.org/officeDocument/2006/relationships/hyperlink" Target="http://vsolj.cetus-net.org/vsoljno53.pdf" TargetMode="External"/><Relationship Id="rId3" Type="http://schemas.openxmlformats.org/officeDocument/2006/relationships/hyperlink" Target="http://www.konkoly.hu/cgi-bin/IBVS?5843" TargetMode="External"/><Relationship Id="rId7" Type="http://schemas.openxmlformats.org/officeDocument/2006/relationships/hyperlink" Target="http://www.bav-astro.de/sfs/BAVM_link.php?BAVMnr=241" TargetMode="External"/><Relationship Id="rId12" Type="http://schemas.openxmlformats.org/officeDocument/2006/relationships/hyperlink" Target="http://vsolj.cetus-net.org/vsoljno50.pdf" TargetMode="External"/><Relationship Id="rId17" Type="http://schemas.openxmlformats.org/officeDocument/2006/relationships/hyperlink" Target="http://vsolj.cetus-net.org/vsoljno59.pdf" TargetMode="External"/><Relationship Id="rId2" Type="http://schemas.openxmlformats.org/officeDocument/2006/relationships/hyperlink" Target="http://www.konkoly.hu/cgi-bin/IBVS?5603" TargetMode="External"/><Relationship Id="rId16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www.bav-astro.de/sfs/BAVM_link.php?BAVMnr=158" TargetMode="External"/><Relationship Id="rId6" Type="http://schemas.openxmlformats.org/officeDocument/2006/relationships/hyperlink" Target="http://www.konkoly.hu/cgi-bin/IBVS?5843" TargetMode="External"/><Relationship Id="rId11" Type="http://schemas.openxmlformats.org/officeDocument/2006/relationships/hyperlink" Target="http://vsolj.cetus-net.org/no48.pdf" TargetMode="External"/><Relationship Id="rId5" Type="http://schemas.openxmlformats.org/officeDocument/2006/relationships/hyperlink" Target="http://www.konkoly.hu/cgi-bin/IBVS?5843" TargetMode="External"/><Relationship Id="rId15" Type="http://schemas.openxmlformats.org/officeDocument/2006/relationships/hyperlink" Target="http://vsolj.cetus-net.org/vsoljno55.pdf" TargetMode="External"/><Relationship Id="rId10" Type="http://schemas.openxmlformats.org/officeDocument/2006/relationships/hyperlink" Target="http://vsolj.cetus-net.org/no46.pdf" TargetMode="External"/><Relationship Id="rId4" Type="http://schemas.openxmlformats.org/officeDocument/2006/relationships/hyperlink" Target="http://www.konkoly.hu/cgi-bin/IBVS?5843" TargetMode="External"/><Relationship Id="rId9" Type="http://schemas.openxmlformats.org/officeDocument/2006/relationships/hyperlink" Target="http://vsolj.cetus-net.org/no46.pdf" TargetMode="External"/><Relationship Id="rId14" Type="http://schemas.openxmlformats.org/officeDocument/2006/relationships/hyperlink" Target="http://vsolj.cetus-net.org/vsoljno53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70"/>
  <sheetViews>
    <sheetView tabSelected="1" workbookViewId="0">
      <pane xSplit="13" ySplit="22" topLeftCell="N59" activePane="bottomRight" state="frozen"/>
      <selection pane="topRight" activeCell="N1" sqref="N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6.4257812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C2" s="3"/>
      <c r="D2" s="3"/>
    </row>
    <row r="4" spans="1:6" x14ac:dyDescent="0.2">
      <c r="A4" s="4" t="s">
        <v>2</v>
      </c>
      <c r="C4" s="5">
        <v>52015.435400000002</v>
      </c>
      <c r="D4" s="6">
        <v>0.44341999999999998</v>
      </c>
    </row>
    <row r="5" spans="1:6" x14ac:dyDescent="0.2">
      <c r="A5" s="7" t="s">
        <v>3</v>
      </c>
      <c r="B5"/>
      <c r="C5" s="8">
        <v>-9.5</v>
      </c>
      <c r="D5" t="s">
        <v>4</v>
      </c>
    </row>
    <row r="6" spans="1:6" x14ac:dyDescent="0.2">
      <c r="A6" s="4" t="s">
        <v>5</v>
      </c>
    </row>
    <row r="7" spans="1:6" x14ac:dyDescent="0.2">
      <c r="A7" s="1" t="s">
        <v>6</v>
      </c>
      <c r="C7" s="9">
        <v>52015.435400000002</v>
      </c>
    </row>
    <row r="8" spans="1:6" x14ac:dyDescent="0.2">
      <c r="A8" s="1" t="s">
        <v>7</v>
      </c>
      <c r="C8" s="10">
        <v>0.44343199999999999</v>
      </c>
    </row>
    <row r="9" spans="1:6" x14ac:dyDescent="0.2">
      <c r="A9" s="11" t="s">
        <v>8</v>
      </c>
      <c r="B9" s="12">
        <v>21</v>
      </c>
      <c r="C9" s="13" t="str">
        <f>"F"&amp;B9</f>
        <v>F21</v>
      </c>
      <c r="D9" s="14" t="str">
        <f>"G"&amp;B9</f>
        <v>G21</v>
      </c>
    </row>
    <row r="10" spans="1:6" x14ac:dyDescent="0.2">
      <c r="A10"/>
      <c r="B10"/>
      <c r="C10" s="15" t="s">
        <v>9</v>
      </c>
      <c r="D10" s="15" t="s">
        <v>10</v>
      </c>
      <c r="E10"/>
    </row>
    <row r="11" spans="1:6" x14ac:dyDescent="0.2">
      <c r="A11" t="s">
        <v>11</v>
      </c>
      <c r="B11"/>
      <c r="C11" s="16">
        <f ca="1">INTERCEPT(INDIRECT($D$9):G992,INDIRECT($C$9):F992)</f>
        <v>-7.8821797165236802E-3</v>
      </c>
      <c r="D11" s="3"/>
      <c r="E11"/>
    </row>
    <row r="12" spans="1:6" x14ac:dyDescent="0.2">
      <c r="A12" t="s">
        <v>12</v>
      </c>
      <c r="B12"/>
      <c r="C12" s="16">
        <f ca="1">SLOPE(INDIRECT($D$9):G992,INDIRECT($C$9):F992)</f>
        <v>2.8408084383737468E-6</v>
      </c>
      <c r="D12" s="3"/>
      <c r="E12"/>
    </row>
    <row r="13" spans="1:6" x14ac:dyDescent="0.2">
      <c r="A13" t="s">
        <v>13</v>
      </c>
      <c r="B13"/>
      <c r="C13" s="3" t="s">
        <v>14</v>
      </c>
    </row>
    <row r="14" spans="1:6" x14ac:dyDescent="0.2">
      <c r="A14"/>
      <c r="B14"/>
      <c r="C14"/>
    </row>
    <row r="15" spans="1:6" x14ac:dyDescent="0.2">
      <c r="A15" s="17" t="s">
        <v>15</v>
      </c>
      <c r="B15"/>
      <c r="C15" s="18">
        <f ca="1">(C7+C11)+(C8+C12)*INT(MAX(F21:F3533))</f>
        <v>59566.235987106375</v>
      </c>
      <c r="E15" s="19" t="s">
        <v>16</v>
      </c>
      <c r="F15" s="8">
        <v>1</v>
      </c>
    </row>
    <row r="16" spans="1:6" x14ac:dyDescent="0.2">
      <c r="A16" s="17" t="s">
        <v>17</v>
      </c>
      <c r="B16"/>
      <c r="C16" s="18">
        <f ca="1">+C8+C12</f>
        <v>0.44343484080843837</v>
      </c>
      <c r="E16" s="19" t="s">
        <v>18</v>
      </c>
      <c r="F16" s="16">
        <f ca="1">NOW()+15018.5+$C$5/24</f>
        <v>59968.784245833333</v>
      </c>
    </row>
    <row r="17" spans="1:21" x14ac:dyDescent="0.2">
      <c r="A17" s="19" t="s">
        <v>19</v>
      </c>
      <c r="B17"/>
      <c r="C17">
        <f>COUNT(C21:C2191)</f>
        <v>50</v>
      </c>
      <c r="E17" s="19" t="s">
        <v>20</v>
      </c>
      <c r="F17" s="16">
        <f ca="1">ROUND(2*(F16-$C$7)/$C$8,0)/2+F15</f>
        <v>17937</v>
      </c>
    </row>
    <row r="18" spans="1:21" x14ac:dyDescent="0.2">
      <c r="A18" s="17" t="s">
        <v>21</v>
      </c>
      <c r="B18"/>
      <c r="C18" s="20">
        <f ca="1">+C15</f>
        <v>59566.235987106375</v>
      </c>
      <c r="D18" s="21">
        <f ca="1">+C16</f>
        <v>0.44343484080843837</v>
      </c>
      <c r="E18" s="19" t="s">
        <v>22</v>
      </c>
      <c r="F18" s="14">
        <f ca="1">ROUND(2*(F16-$C$15)/$C$16,0)/2+F15</f>
        <v>909</v>
      </c>
      <c r="S18" s="1">
        <f ca="1">SQRT(SUM(S21:S27)/COUNT(S21:S27))</f>
        <v>7.8215234888215895E-3</v>
      </c>
    </row>
    <row r="19" spans="1:21" x14ac:dyDescent="0.2">
      <c r="E19" s="19" t="s">
        <v>23</v>
      </c>
      <c r="F19" s="22">
        <f ca="1">+$C$15+$C$16*F18-15018.5-$C$5/24</f>
        <v>44951.214090734582</v>
      </c>
    </row>
    <row r="20" spans="1:21" x14ac:dyDescent="0.2">
      <c r="A20" s="15" t="s">
        <v>24</v>
      </c>
      <c r="B20" s="15" t="s">
        <v>25</v>
      </c>
      <c r="C20" s="15" t="s">
        <v>26</v>
      </c>
      <c r="D20" s="15" t="s">
        <v>27</v>
      </c>
      <c r="E20" s="15" t="s">
        <v>28</v>
      </c>
      <c r="F20" s="15" t="s">
        <v>29</v>
      </c>
      <c r="G20" s="15" t="s">
        <v>30</v>
      </c>
      <c r="H20" s="23" t="s">
        <v>31</v>
      </c>
      <c r="I20" s="23" t="s">
        <v>32</v>
      </c>
      <c r="J20" s="23" t="s">
        <v>33</v>
      </c>
      <c r="K20" s="23" t="s">
        <v>34</v>
      </c>
      <c r="L20" s="23" t="s">
        <v>35</v>
      </c>
      <c r="M20" s="23" t="s">
        <v>36</v>
      </c>
      <c r="N20" s="23" t="s">
        <v>37</v>
      </c>
      <c r="O20" s="23" t="s">
        <v>38</v>
      </c>
      <c r="P20" s="23" t="s">
        <v>39</v>
      </c>
      <c r="Q20" s="15" t="s">
        <v>40</v>
      </c>
      <c r="U20" s="24" t="s">
        <v>41</v>
      </c>
    </row>
    <row r="21" spans="1:21" x14ac:dyDescent="0.2">
      <c r="A21" s="1" t="s">
        <v>42</v>
      </c>
      <c r="C21" s="25">
        <v>52015.435400000002</v>
      </c>
      <c r="D21" s="3"/>
      <c r="E21" s="1">
        <f t="shared" ref="E21:E40" si="0">+(C21-C$7)/C$8</f>
        <v>0</v>
      </c>
      <c r="F21" s="1">
        <f t="shared" ref="F21:F44" si="1">ROUND(2*E21,0)/2</f>
        <v>0</v>
      </c>
      <c r="G21" s="1">
        <f t="shared" ref="G21:G40" si="2">+C21-(C$7+F21*C$8)</f>
        <v>0</v>
      </c>
      <c r="K21" s="1">
        <f>+G21</f>
        <v>0</v>
      </c>
      <c r="O21" s="1">
        <f t="shared" ref="O21:O40" ca="1" si="3">+C$11+C$12*$F21</f>
        <v>-7.8821797165236802E-3</v>
      </c>
      <c r="Q21" s="79">
        <f t="shared" ref="Q21:Q40" si="4">+C21-15018.5</f>
        <v>36996.935400000002</v>
      </c>
      <c r="R21" s="1" t="e">
        <v>#N/A</v>
      </c>
      <c r="S21" s="1">
        <f t="shared" ref="S21:S43" ca="1" si="5">+(O21-G21)^2</f>
        <v>6.212875708357732E-5</v>
      </c>
    </row>
    <row r="22" spans="1:21" x14ac:dyDescent="0.2">
      <c r="A22" s="27" t="s">
        <v>43</v>
      </c>
      <c r="B22" s="28"/>
      <c r="C22" s="9">
        <v>52309.406600000002</v>
      </c>
      <c r="D22" s="9">
        <v>5.0000000000000001E-4</v>
      </c>
      <c r="E22" s="1">
        <f t="shared" si="0"/>
        <v>662.94538959750298</v>
      </c>
      <c r="F22" s="1">
        <f t="shared" si="1"/>
        <v>663</v>
      </c>
      <c r="G22" s="1">
        <f t="shared" si="2"/>
        <v>-2.4215999997977633E-2</v>
      </c>
      <c r="J22" s="1">
        <f>+G22</f>
        <v>-2.4215999997977633E-2</v>
      </c>
      <c r="O22" s="1">
        <f t="shared" ca="1" si="3"/>
        <v>-5.9987237218818859E-3</v>
      </c>
      <c r="Q22" s="79">
        <f t="shared" si="4"/>
        <v>37290.906600000002</v>
      </c>
      <c r="R22" s="1" t="s">
        <v>33</v>
      </c>
      <c r="S22" s="1">
        <f t="shared" ca="1" si="5"/>
        <v>3.3186915491960095E-4</v>
      </c>
    </row>
    <row r="23" spans="1:21" x14ac:dyDescent="0.2">
      <c r="A23" s="27" t="s">
        <v>44</v>
      </c>
      <c r="B23" s="29" t="s">
        <v>45</v>
      </c>
      <c r="C23" s="30">
        <v>53118.693899999998</v>
      </c>
      <c r="D23" s="27">
        <v>2.0000000000000001E-4</v>
      </c>
      <c r="E23" s="1">
        <f t="shared" si="0"/>
        <v>2487.9992873766355</v>
      </c>
      <c r="F23" s="1">
        <f t="shared" si="1"/>
        <v>2488</v>
      </c>
      <c r="G23" s="1">
        <f t="shared" si="2"/>
        <v>-3.1600000511389226E-4</v>
      </c>
      <c r="K23" s="1">
        <f t="shared" ref="K23:K29" si="6">+G23</f>
        <v>-3.1600000511389226E-4</v>
      </c>
      <c r="O23" s="1">
        <f t="shared" ca="1" si="3"/>
        <v>-8.142483218497986E-4</v>
      </c>
      <c r="Q23" s="79">
        <f t="shared" si="4"/>
        <v>38100.193899999998</v>
      </c>
      <c r="R23" s="1" t="s">
        <v>34</v>
      </c>
      <c r="S23" s="1">
        <f t="shared" ca="1" si="5"/>
        <v>2.4825138513016404E-7</v>
      </c>
    </row>
    <row r="24" spans="1:21" x14ac:dyDescent="0.2">
      <c r="A24" s="31" t="s">
        <v>46</v>
      </c>
      <c r="B24" s="32" t="s">
        <v>47</v>
      </c>
      <c r="C24" s="33">
        <v>53410.700299999997</v>
      </c>
      <c r="D24" s="33">
        <v>8.9999999999999998E-4</v>
      </c>
      <c r="E24" s="1">
        <f t="shared" si="0"/>
        <v>3146.51378339857</v>
      </c>
      <c r="F24" s="1">
        <f t="shared" si="1"/>
        <v>3146.5</v>
      </c>
      <c r="G24" s="1">
        <f t="shared" si="2"/>
        <v>6.1119999954826199E-3</v>
      </c>
      <c r="K24" s="1">
        <f t="shared" si="6"/>
        <v>6.1119999954826199E-3</v>
      </c>
      <c r="O24" s="1">
        <f t="shared" ca="1" si="3"/>
        <v>1.0564240348193144E-3</v>
      </c>
      <c r="Q24" s="79">
        <f t="shared" si="4"/>
        <v>38392.200299999997</v>
      </c>
      <c r="R24" s="1" t="s">
        <v>34</v>
      </c>
      <c r="S24" s="1">
        <f t="shared" ca="1" si="5"/>
        <v>2.5558848294036705E-5</v>
      </c>
    </row>
    <row r="25" spans="1:21" x14ac:dyDescent="0.2">
      <c r="A25" s="31" t="s">
        <v>46</v>
      </c>
      <c r="B25" s="32" t="s">
        <v>45</v>
      </c>
      <c r="C25" s="33">
        <v>53411.805999999997</v>
      </c>
      <c r="D25" s="33">
        <v>6.9999999999999999E-4</v>
      </c>
      <c r="E25" s="1">
        <f t="shared" si="0"/>
        <v>3149.0072886034268</v>
      </c>
      <c r="F25" s="1">
        <f t="shared" si="1"/>
        <v>3149</v>
      </c>
      <c r="G25" s="1">
        <f t="shared" si="2"/>
        <v>3.2319999954779632E-3</v>
      </c>
      <c r="K25" s="1">
        <f t="shared" si="6"/>
        <v>3.2319999954779632E-3</v>
      </c>
      <c r="O25" s="1">
        <f t="shared" ca="1" si="3"/>
        <v>1.0635260559152485E-3</v>
      </c>
      <c r="Q25" s="79">
        <f t="shared" si="4"/>
        <v>38393.305999999997</v>
      </c>
      <c r="R25" s="1" t="s">
        <v>34</v>
      </c>
      <c r="S25" s="1">
        <f t="shared" ca="1" si="5"/>
        <v>4.7022792265626405E-6</v>
      </c>
    </row>
    <row r="26" spans="1:21" x14ac:dyDescent="0.2">
      <c r="A26" s="31" t="s">
        <v>46</v>
      </c>
      <c r="B26" s="32" t="s">
        <v>47</v>
      </c>
      <c r="C26" s="33">
        <v>53413.798199999997</v>
      </c>
      <c r="D26" s="33">
        <v>5.9999999999999995E-4</v>
      </c>
      <c r="E26" s="1">
        <f t="shared" si="0"/>
        <v>3153.499972938343</v>
      </c>
      <c r="F26" s="1">
        <f t="shared" si="1"/>
        <v>3153.5</v>
      </c>
      <c r="G26" s="1">
        <f t="shared" si="2"/>
        <v>-1.200000406242907E-5</v>
      </c>
      <c r="K26" s="1">
        <f t="shared" si="6"/>
        <v>-1.200000406242907E-5</v>
      </c>
      <c r="O26" s="1">
        <f t="shared" ca="1" si="3"/>
        <v>1.0763096938879307E-3</v>
      </c>
      <c r="Q26" s="79">
        <f t="shared" si="4"/>
        <v>38395.298199999997</v>
      </c>
      <c r="R26" s="1" t="s">
        <v>34</v>
      </c>
      <c r="S26" s="1">
        <f t="shared" ca="1" si="5"/>
        <v>1.1844179986528033E-6</v>
      </c>
    </row>
    <row r="27" spans="1:21" x14ac:dyDescent="0.2">
      <c r="A27" s="31" t="s">
        <v>46</v>
      </c>
      <c r="B27" s="32" t="s">
        <v>45</v>
      </c>
      <c r="C27" s="33">
        <v>53459.693200000002</v>
      </c>
      <c r="D27" s="33">
        <v>1E-3</v>
      </c>
      <c r="E27" s="1">
        <f t="shared" si="0"/>
        <v>3256.9994948492654</v>
      </c>
      <c r="F27" s="1">
        <f t="shared" si="1"/>
        <v>3257</v>
      </c>
      <c r="G27" s="1">
        <f t="shared" si="2"/>
        <v>-2.2400000307243317E-4</v>
      </c>
      <c r="K27" s="1">
        <f t="shared" si="6"/>
        <v>-2.2400000307243317E-4</v>
      </c>
      <c r="O27" s="1">
        <f t="shared" ca="1" si="3"/>
        <v>1.370333367259613E-3</v>
      </c>
      <c r="Q27" s="79">
        <f t="shared" si="4"/>
        <v>38441.193200000002</v>
      </c>
      <c r="R27" s="1" t="s">
        <v>34</v>
      </c>
      <c r="S27" s="1">
        <f t="shared" ca="1" si="5"/>
        <v>2.5418988957543414E-6</v>
      </c>
    </row>
    <row r="28" spans="1:21" x14ac:dyDescent="0.2">
      <c r="A28" s="34" t="s">
        <v>48</v>
      </c>
      <c r="B28" s="32" t="s">
        <v>47</v>
      </c>
      <c r="C28" s="34">
        <v>53499.380700000002</v>
      </c>
      <c r="D28" s="34">
        <v>5.9999999999999995E-4</v>
      </c>
      <c r="E28" s="1">
        <f t="shared" si="0"/>
        <v>3346.5002525753653</v>
      </c>
      <c r="F28" s="1">
        <f t="shared" si="1"/>
        <v>3346.5</v>
      </c>
      <c r="G28" s="1">
        <f t="shared" si="2"/>
        <v>1.1200000153621659E-4</v>
      </c>
      <c r="K28" s="1">
        <f t="shared" si="6"/>
        <v>1.1200000153621659E-4</v>
      </c>
      <c r="O28" s="1">
        <f t="shared" ca="1" si="3"/>
        <v>1.6245857224940641E-3</v>
      </c>
      <c r="Q28" s="79">
        <f t="shared" si="4"/>
        <v>38480.880700000002</v>
      </c>
      <c r="R28" s="1" t="s">
        <v>34</v>
      </c>
      <c r="S28" s="1">
        <f t="shared" ca="1" si="5"/>
        <v>2.2879155632455713E-6</v>
      </c>
    </row>
    <row r="29" spans="1:21" x14ac:dyDescent="0.2">
      <c r="A29" s="34" t="s">
        <v>48</v>
      </c>
      <c r="B29" s="32" t="s">
        <v>47</v>
      </c>
      <c r="C29" s="34">
        <v>53500.266799999998</v>
      </c>
      <c r="D29" s="34">
        <v>5.0000000000000001E-4</v>
      </c>
      <c r="E29" s="1">
        <f t="shared" si="0"/>
        <v>3348.4985296505338</v>
      </c>
      <c r="F29" s="1">
        <f t="shared" si="1"/>
        <v>3348.5</v>
      </c>
      <c r="G29" s="1">
        <f t="shared" si="2"/>
        <v>-6.520000024465844E-4</v>
      </c>
      <c r="K29" s="1">
        <f t="shared" si="6"/>
        <v>-6.520000024465844E-4</v>
      </c>
      <c r="O29" s="1">
        <f t="shared" ca="1" si="3"/>
        <v>1.6302673393708104E-3</v>
      </c>
      <c r="Q29" s="79">
        <f t="shared" si="4"/>
        <v>38481.766799999998</v>
      </c>
      <c r="R29" s="1" t="s">
        <v>34</v>
      </c>
      <c r="S29" s="1">
        <f t="shared" ca="1" si="5"/>
        <v>5.2087442195262372E-6</v>
      </c>
    </row>
    <row r="30" spans="1:21" x14ac:dyDescent="0.2">
      <c r="A30" s="35" t="s">
        <v>49</v>
      </c>
      <c r="B30" s="36" t="s">
        <v>47</v>
      </c>
      <c r="C30" s="37">
        <v>54147.240100000003</v>
      </c>
      <c r="D30" s="38"/>
      <c r="E30" s="1">
        <f t="shared" si="0"/>
        <v>4807.5120875354069</v>
      </c>
      <c r="F30" s="1">
        <f t="shared" si="1"/>
        <v>4807.5</v>
      </c>
      <c r="G30" s="1">
        <f t="shared" si="2"/>
        <v>5.3600000028382055E-3</v>
      </c>
      <c r="K30" s="1">
        <f t="shared" ref="K30:K43" si="7">+G30</f>
        <v>5.3600000028382055E-3</v>
      </c>
      <c r="O30" s="1">
        <f t="shared" ca="1" si="3"/>
        <v>5.775006850958107E-3</v>
      </c>
      <c r="Q30" s="79">
        <f t="shared" si="4"/>
        <v>39128.740100000003</v>
      </c>
      <c r="S30" s="1">
        <f t="shared" ca="1" si="5"/>
        <v>1.7223068398641494E-7</v>
      </c>
    </row>
    <row r="31" spans="1:21" x14ac:dyDescent="0.2">
      <c r="A31" s="35" t="s">
        <v>49</v>
      </c>
      <c r="B31" s="36" t="s">
        <v>45</v>
      </c>
      <c r="C31" s="37">
        <v>54174.069900000002</v>
      </c>
      <c r="D31" s="38"/>
      <c r="E31" s="1">
        <f t="shared" si="0"/>
        <v>4868.0169676523119</v>
      </c>
      <c r="F31" s="1">
        <f t="shared" si="1"/>
        <v>4868</v>
      </c>
      <c r="G31" s="1">
        <f t="shared" si="2"/>
        <v>7.5240000005578622E-3</v>
      </c>
      <c r="K31" s="1">
        <f t="shared" si="7"/>
        <v>7.5240000005578622E-3</v>
      </c>
      <c r="O31" s="1">
        <f t="shared" ca="1" si="3"/>
        <v>5.9468757614797186E-3</v>
      </c>
      <c r="Q31" s="79">
        <f t="shared" si="4"/>
        <v>39155.569900000002</v>
      </c>
      <c r="S31" s="1">
        <f t="shared" ca="1" si="5"/>
        <v>2.4873208654878136E-6</v>
      </c>
    </row>
    <row r="32" spans="1:21" x14ac:dyDescent="0.2">
      <c r="A32" s="39" t="s">
        <v>50</v>
      </c>
      <c r="B32" s="40" t="s">
        <v>47</v>
      </c>
      <c r="C32" s="41">
        <v>54832.3514</v>
      </c>
      <c r="D32" s="25"/>
      <c r="E32" s="1">
        <f t="shared" si="0"/>
        <v>6352.5320680510149</v>
      </c>
      <c r="F32" s="1">
        <f t="shared" si="1"/>
        <v>6352.5</v>
      </c>
      <c r="G32" s="1">
        <f t="shared" si="2"/>
        <v>1.4219999997294508E-2</v>
      </c>
      <c r="K32" s="1">
        <f t="shared" si="7"/>
        <v>1.4219999997294508E-2</v>
      </c>
      <c r="O32" s="1">
        <f t="shared" ca="1" si="3"/>
        <v>1.0164055888245545E-2</v>
      </c>
      <c r="Q32" s="79">
        <f t="shared" si="4"/>
        <v>39813.8514</v>
      </c>
      <c r="S32" s="1">
        <f t="shared" ca="1" si="5"/>
        <v>1.6450682615728987E-5</v>
      </c>
    </row>
    <row r="33" spans="1:19" x14ac:dyDescent="0.2">
      <c r="A33" s="39" t="s">
        <v>51</v>
      </c>
      <c r="B33" s="40" t="s">
        <v>45</v>
      </c>
      <c r="C33" s="41">
        <v>54907.067600000002</v>
      </c>
      <c r="D33" s="25"/>
      <c r="E33" s="1">
        <f t="shared" si="0"/>
        <v>6521.0273503039925</v>
      </c>
      <c r="F33" s="1">
        <f t="shared" si="1"/>
        <v>6521</v>
      </c>
      <c r="G33" s="1">
        <f t="shared" si="2"/>
        <v>1.2128000002121553E-2</v>
      </c>
      <c r="K33" s="1">
        <f t="shared" si="7"/>
        <v>1.2128000002121553E-2</v>
      </c>
      <c r="O33" s="1">
        <f t="shared" ca="1" si="3"/>
        <v>1.0642732110111523E-2</v>
      </c>
      <c r="Q33" s="79">
        <f t="shared" si="4"/>
        <v>39888.567600000002</v>
      </c>
      <c r="S33" s="1">
        <f t="shared" ca="1" si="5"/>
        <v>2.2060207110359188E-6</v>
      </c>
    </row>
    <row r="34" spans="1:19" x14ac:dyDescent="0.2">
      <c r="A34" s="39" t="s">
        <v>52</v>
      </c>
      <c r="B34" s="40" t="s">
        <v>47</v>
      </c>
      <c r="C34" s="41">
        <v>55626.100599999998</v>
      </c>
      <c r="D34" s="25"/>
      <c r="E34" s="1">
        <f t="shared" si="0"/>
        <v>8142.5454184632499</v>
      </c>
      <c r="F34" s="1">
        <f t="shared" si="1"/>
        <v>8142.5</v>
      </c>
      <c r="G34" s="1">
        <f t="shared" si="2"/>
        <v>2.0139999993261881E-2</v>
      </c>
      <c r="K34" s="1">
        <f t="shared" si="7"/>
        <v>2.0139999993261881E-2</v>
      </c>
      <c r="O34" s="1">
        <f t="shared" ca="1" si="3"/>
        <v>1.5249102992934555E-2</v>
      </c>
      <c r="Q34" s="79">
        <f t="shared" si="4"/>
        <v>40607.600599999998</v>
      </c>
      <c r="S34" s="1">
        <f t="shared" ca="1" si="5"/>
        <v>2.3920873467810841E-5</v>
      </c>
    </row>
    <row r="35" spans="1:19" x14ac:dyDescent="0.2">
      <c r="A35" s="39" t="s">
        <v>52</v>
      </c>
      <c r="B35" s="40" t="s">
        <v>45</v>
      </c>
      <c r="C35" s="41">
        <v>55656.031900000002</v>
      </c>
      <c r="D35" s="25"/>
      <c r="E35" s="1">
        <f t="shared" si="0"/>
        <v>8210.0446066138666</v>
      </c>
      <c r="F35" s="1">
        <f t="shared" si="1"/>
        <v>8210</v>
      </c>
      <c r="G35" s="1">
        <f t="shared" si="2"/>
        <v>1.9780000002356246E-2</v>
      </c>
      <c r="K35" s="1">
        <f t="shared" si="7"/>
        <v>1.9780000002356246E-2</v>
      </c>
      <c r="O35" s="1">
        <f t="shared" ca="1" si="3"/>
        <v>1.5440857562524783E-2</v>
      </c>
      <c r="Q35" s="79">
        <f t="shared" si="4"/>
        <v>40637.531900000002</v>
      </c>
      <c r="S35" s="1">
        <f t="shared" ca="1" si="5"/>
        <v>1.8828157113146545E-5</v>
      </c>
    </row>
    <row r="36" spans="1:19" x14ac:dyDescent="0.2">
      <c r="A36" s="39" t="s">
        <v>53</v>
      </c>
      <c r="B36" s="40" t="s">
        <v>47</v>
      </c>
      <c r="C36" s="41">
        <v>56018.982199999999</v>
      </c>
      <c r="D36" s="25"/>
      <c r="E36" s="1">
        <f t="shared" si="0"/>
        <v>9028.5473308195997</v>
      </c>
      <c r="F36" s="1">
        <f t="shared" si="1"/>
        <v>9028.5</v>
      </c>
      <c r="G36" s="1">
        <f t="shared" si="2"/>
        <v>2.0987999996577855E-2</v>
      </c>
      <c r="K36" s="1">
        <f t="shared" si="7"/>
        <v>2.0987999996577855E-2</v>
      </c>
      <c r="O36" s="1">
        <f t="shared" ca="1" si="3"/>
        <v>1.7766059269333691E-2</v>
      </c>
      <c r="Q36" s="79">
        <f t="shared" si="4"/>
        <v>41000.482199999999</v>
      </c>
      <c r="S36" s="1">
        <f t="shared" ca="1" si="5"/>
        <v>1.0380902049874651E-5</v>
      </c>
    </row>
    <row r="37" spans="1:19" x14ac:dyDescent="0.2">
      <c r="A37" s="39" t="s">
        <v>53</v>
      </c>
      <c r="B37" s="40" t="s">
        <v>47</v>
      </c>
      <c r="C37" s="41">
        <v>56026.963799999998</v>
      </c>
      <c r="D37" s="25"/>
      <c r="E37" s="1">
        <f t="shared" si="0"/>
        <v>9046.5469339154497</v>
      </c>
      <c r="F37" s="1">
        <f t="shared" si="1"/>
        <v>9046.5</v>
      </c>
      <c r="G37" s="1">
        <f t="shared" si="2"/>
        <v>2.0811999995203223E-2</v>
      </c>
      <c r="K37" s="1">
        <f t="shared" si="7"/>
        <v>2.0811999995203223E-2</v>
      </c>
      <c r="O37" s="1">
        <f t="shared" ca="1" si="3"/>
        <v>1.781719382122442E-2</v>
      </c>
      <c r="Q37" s="79">
        <f t="shared" si="4"/>
        <v>41008.463799999998</v>
      </c>
      <c r="S37" s="1">
        <f t="shared" ca="1" si="5"/>
        <v>8.9688640197015557E-6</v>
      </c>
    </row>
    <row r="38" spans="1:19" x14ac:dyDescent="0.2">
      <c r="A38" s="34" t="s">
        <v>54</v>
      </c>
      <c r="B38" s="32"/>
      <c r="C38" s="34">
        <v>56727.369200000001</v>
      </c>
      <c r="D38" s="34">
        <v>2.9999999999999997E-4</v>
      </c>
      <c r="E38" s="1">
        <f t="shared" si="0"/>
        <v>10626.057208320552</v>
      </c>
      <c r="F38" s="1">
        <f t="shared" si="1"/>
        <v>10626</v>
      </c>
      <c r="G38" s="1">
        <f t="shared" si="2"/>
        <v>2.536800000234507E-2</v>
      </c>
      <c r="K38" s="1">
        <f t="shared" si="7"/>
        <v>2.536800000234507E-2</v>
      </c>
      <c r="O38" s="1">
        <f t="shared" ca="1" si="3"/>
        <v>2.2304250749635754E-2</v>
      </c>
      <c r="Q38" s="79">
        <f t="shared" si="4"/>
        <v>41708.869200000001</v>
      </c>
      <c r="S38" s="1">
        <f t="shared" ca="1" si="5"/>
        <v>9.3865594834768945E-6</v>
      </c>
    </row>
    <row r="39" spans="1:19" x14ac:dyDescent="0.2">
      <c r="A39" s="39" t="s">
        <v>55</v>
      </c>
      <c r="B39" s="40" t="s">
        <v>47</v>
      </c>
      <c r="C39" s="41">
        <v>56740.005499999999</v>
      </c>
      <c r="D39" s="25"/>
      <c r="E39" s="1">
        <f t="shared" si="0"/>
        <v>10654.553798553097</v>
      </c>
      <c r="F39" s="1">
        <f t="shared" si="1"/>
        <v>10654.5</v>
      </c>
      <c r="G39" s="1">
        <f t="shared" si="2"/>
        <v>2.385599999979604E-2</v>
      </c>
      <c r="K39" s="1">
        <f t="shared" si="7"/>
        <v>2.385599999979604E-2</v>
      </c>
      <c r="O39" s="1">
        <f t="shared" ca="1" si="3"/>
        <v>2.2385213790129404E-2</v>
      </c>
      <c r="Q39" s="79">
        <f t="shared" si="4"/>
        <v>41721.505499999999</v>
      </c>
      <c r="S39" s="1">
        <f t="shared" ca="1" si="5"/>
        <v>2.1632120745455509E-6</v>
      </c>
    </row>
    <row r="40" spans="1:19" x14ac:dyDescent="0.2">
      <c r="A40" s="42" t="s">
        <v>56</v>
      </c>
      <c r="B40" s="43" t="s">
        <v>45</v>
      </c>
      <c r="C40" s="44">
        <v>57013.606</v>
      </c>
      <c r="D40" s="44">
        <v>6.0000000000000001E-3</v>
      </c>
      <c r="E40" s="1">
        <f t="shared" si="0"/>
        <v>11271.56046473867</v>
      </c>
      <c r="F40" s="1">
        <f t="shared" si="1"/>
        <v>11271.5</v>
      </c>
      <c r="G40" s="1">
        <f t="shared" si="2"/>
        <v>2.6811999996425584E-2</v>
      </c>
      <c r="K40" s="1">
        <f t="shared" si="7"/>
        <v>2.6811999996425584E-2</v>
      </c>
      <c r="O40" s="1">
        <f t="shared" ca="1" si="3"/>
        <v>2.4137992596606008E-2</v>
      </c>
      <c r="Q40" s="79">
        <f t="shared" si="4"/>
        <v>41995.106</v>
      </c>
      <c r="S40" s="1">
        <f t="shared" ca="1" si="5"/>
        <v>7.1503155742898487E-6</v>
      </c>
    </row>
    <row r="41" spans="1:19" x14ac:dyDescent="0.2">
      <c r="A41" s="45" t="s">
        <v>57</v>
      </c>
      <c r="B41" s="46" t="s">
        <v>47</v>
      </c>
      <c r="C41" s="45">
        <v>56740.00549999997</v>
      </c>
      <c r="D41" s="45" t="s">
        <v>58</v>
      </c>
      <c r="E41" s="1">
        <f>+(C41-C$7)/C$8</f>
        <v>10654.553798553032</v>
      </c>
      <c r="F41" s="1">
        <f t="shared" si="1"/>
        <v>10654.5</v>
      </c>
      <c r="G41" s="1">
        <f>+C41-(C$7+F41*C$8)</f>
        <v>2.385599997069221E-2</v>
      </c>
      <c r="K41" s="1">
        <f t="shared" si="7"/>
        <v>2.385599997069221E-2</v>
      </c>
      <c r="O41" s="1">
        <f ca="1">+C$11+C$12*$F41</f>
        <v>2.2385213790129404E-2</v>
      </c>
      <c r="Q41" s="79">
        <f>+C41-15018.5</f>
        <v>41721.50549999997</v>
      </c>
      <c r="S41" s="1">
        <f t="shared" ca="1" si="5"/>
        <v>2.163211988934527E-6</v>
      </c>
    </row>
    <row r="42" spans="1:19" x14ac:dyDescent="0.2">
      <c r="A42" s="45" t="s">
        <v>59</v>
      </c>
      <c r="B42" s="46" t="s">
        <v>47</v>
      </c>
      <c r="C42" s="45">
        <v>57437.085599999999</v>
      </c>
      <c r="D42" s="45" t="s">
        <v>60</v>
      </c>
      <c r="E42" s="1">
        <f>+(C42-C$7)/C$8</f>
        <v>12226.56506521856</v>
      </c>
      <c r="F42" s="1">
        <f t="shared" si="1"/>
        <v>12226.5</v>
      </c>
      <c r="G42" s="1">
        <f>+C42-(C$7+F42*C$8)</f>
        <v>2.8851999995822553E-2</v>
      </c>
      <c r="K42" s="1">
        <f t="shared" si="7"/>
        <v>2.8851999995822553E-2</v>
      </c>
      <c r="O42" s="1">
        <f ca="1">+C$11+C$12*$F42</f>
        <v>2.6850964655252937E-2</v>
      </c>
      <c r="Q42" s="79">
        <f>+C42-15018.5</f>
        <v>42418.585599999999</v>
      </c>
      <c r="S42" s="1">
        <f t="shared" ca="1" si="5"/>
        <v>4.0041424342085589E-6</v>
      </c>
    </row>
    <row r="43" spans="1:19" x14ac:dyDescent="0.2">
      <c r="A43" s="45" t="s">
        <v>59</v>
      </c>
      <c r="B43" s="46" t="s">
        <v>47</v>
      </c>
      <c r="C43" s="45">
        <v>57465.0219</v>
      </c>
      <c r="D43" s="45" t="s">
        <v>58</v>
      </c>
      <c r="E43" s="1">
        <f>+(C43-C$7)/C$8</f>
        <v>12289.565254650088</v>
      </c>
      <c r="F43" s="1">
        <f t="shared" si="1"/>
        <v>12289.5</v>
      </c>
      <c r="G43" s="1">
        <f>+C43-(C$7+F43*C$8)</f>
        <v>2.8935999995155726E-2</v>
      </c>
      <c r="K43" s="1">
        <f t="shared" si="7"/>
        <v>2.8935999995155726E-2</v>
      </c>
      <c r="O43" s="1">
        <f ca="1">+C$11+C$12*$F43</f>
        <v>2.7029935586870484E-2</v>
      </c>
      <c r="Q43" s="79">
        <f>+C43-15018.5</f>
        <v>42446.5219</v>
      </c>
      <c r="S43" s="1">
        <f t="shared" ca="1" si="5"/>
        <v>3.6330815285317676E-6</v>
      </c>
    </row>
    <row r="44" spans="1:19" x14ac:dyDescent="0.2">
      <c r="A44" s="47" t="s">
        <v>61</v>
      </c>
      <c r="B44" s="48" t="s">
        <v>45</v>
      </c>
      <c r="C44" s="45">
        <v>58214.425999999999</v>
      </c>
      <c r="D44" s="45">
        <v>4.0000000000000001E-3</v>
      </c>
      <c r="E44" s="1">
        <f>+(C44-C$7)/C$8</f>
        <v>13979.574320301641</v>
      </c>
      <c r="F44" s="1">
        <f t="shared" si="1"/>
        <v>13979.5</v>
      </c>
      <c r="G44" s="1">
        <f>+C44-(C$7+F44*C$8)</f>
        <v>3.295599999546539E-2</v>
      </c>
      <c r="K44" s="1">
        <f>+G44</f>
        <v>3.295599999546539E-2</v>
      </c>
      <c r="O44" s="1">
        <f ca="1">+C$11+C$12*$F44</f>
        <v>3.183090184772211E-2</v>
      </c>
      <c r="Q44" s="79">
        <f>+C44-15018.5</f>
        <v>43195.925999999999</v>
      </c>
      <c r="S44" s="1">
        <f ca="1">+(O44-G44)^2</f>
        <v>1.2658458420553615E-6</v>
      </c>
    </row>
    <row r="45" spans="1:19" x14ac:dyDescent="0.2">
      <c r="A45" s="45" t="s">
        <v>62</v>
      </c>
      <c r="B45" s="46" t="s">
        <v>45</v>
      </c>
      <c r="C45" s="45">
        <v>58333.945699999997</v>
      </c>
      <c r="D45" s="45">
        <v>5.0000000000000001E-4</v>
      </c>
      <c r="E45" s="1">
        <f t="shared" ref="E45:E50" si="8">+(C45-C$7)/C$8</f>
        <v>14249.107642208939</v>
      </c>
      <c r="F45" s="1">
        <f t="shared" ref="F45:F50" si="9">ROUND(2*E45,0)/2</f>
        <v>14249</v>
      </c>
      <c r="G45" s="1">
        <f t="shared" ref="G45:G50" si="10">+C45-(C$7+F45*C$8)</f>
        <v>4.7731999991810881E-2</v>
      </c>
      <c r="K45" s="1">
        <f t="shared" ref="K45:K50" si="11">+G45</f>
        <v>4.7731999991810881E-2</v>
      </c>
      <c r="O45" s="1">
        <f t="shared" ref="O45:O50" ca="1" si="12">+C$11+C$12*$F45</f>
        <v>3.2596499721863834E-2</v>
      </c>
      <c r="Q45" s="79">
        <f t="shared" ref="Q45:Q50" si="13">+C45-15018.5</f>
        <v>43315.445699999997</v>
      </c>
      <c r="S45" s="1">
        <f t="shared" ref="S45:S50" ca="1" si="14">+(O45-G45)^2</f>
        <v>2.2908336842156714E-4</v>
      </c>
    </row>
    <row r="46" spans="1:19" x14ac:dyDescent="0.2">
      <c r="A46" s="45" t="s">
        <v>62</v>
      </c>
      <c r="B46" s="46" t="s">
        <v>45</v>
      </c>
      <c r="C46" s="45">
        <v>58364.010499999997</v>
      </c>
      <c r="D46" s="45">
        <v>6.6E-3</v>
      </c>
      <c r="E46" s="1">
        <f t="shared" si="8"/>
        <v>14316.907891176088</v>
      </c>
      <c r="F46" s="1">
        <f t="shared" si="9"/>
        <v>14317</v>
      </c>
      <c r="G46" s="1">
        <f t="shared" si="10"/>
        <v>-4.0844000002834946E-2</v>
      </c>
      <c r="K46" s="1">
        <f t="shared" si="11"/>
        <v>-4.0844000002834946E-2</v>
      </c>
      <c r="O46" s="1">
        <f t="shared" ca="1" si="12"/>
        <v>3.2789674695673246E-2</v>
      </c>
      <c r="Q46" s="79">
        <f t="shared" si="13"/>
        <v>43345.510499999997</v>
      </c>
      <c r="S46" s="1">
        <f t="shared" ca="1" si="14"/>
        <v>5.4219180496057253E-3</v>
      </c>
    </row>
    <row r="47" spans="1:19" x14ac:dyDescent="0.2">
      <c r="A47" s="49" t="s">
        <v>63</v>
      </c>
      <c r="B47" s="50" t="s">
        <v>47</v>
      </c>
      <c r="C47" s="51">
        <v>58502.216899999999</v>
      </c>
      <c r="D47" s="51" t="s">
        <v>64</v>
      </c>
      <c r="E47" s="1">
        <f t="shared" si="8"/>
        <v>14628.58228544624</v>
      </c>
      <c r="F47" s="1">
        <f t="shared" si="9"/>
        <v>14628.5</v>
      </c>
      <c r="G47" s="1">
        <f t="shared" si="10"/>
        <v>3.6487999997916631E-2</v>
      </c>
      <c r="K47" s="1">
        <f t="shared" si="11"/>
        <v>3.6487999997916631E-2</v>
      </c>
      <c r="O47" s="1">
        <f t="shared" ca="1" si="12"/>
        <v>3.3674586524226668E-2</v>
      </c>
      <c r="Q47" s="79">
        <f t="shared" si="13"/>
        <v>43483.716899999999</v>
      </c>
      <c r="S47" s="1">
        <f t="shared" ca="1" si="14"/>
        <v>7.9152953739402247E-6</v>
      </c>
    </row>
    <row r="48" spans="1:19" x14ac:dyDescent="0.2">
      <c r="A48" s="52" t="s">
        <v>65</v>
      </c>
      <c r="B48" s="53" t="s">
        <v>47</v>
      </c>
      <c r="C48" s="54">
        <v>59207.277399999999</v>
      </c>
      <c r="D48" s="54" t="s">
        <v>60</v>
      </c>
      <c r="E48" s="1">
        <f t="shared" si="8"/>
        <v>16218.590449042913</v>
      </c>
      <c r="F48" s="1">
        <f t="shared" si="9"/>
        <v>16218.5</v>
      </c>
      <c r="G48" s="1">
        <f t="shared" si="10"/>
        <v>4.0107999993779231E-2</v>
      </c>
      <c r="K48" s="1">
        <f t="shared" si="11"/>
        <v>4.0107999993779231E-2</v>
      </c>
      <c r="O48" s="1">
        <f t="shared" ca="1" si="12"/>
        <v>3.8191471941240937E-2</v>
      </c>
      <c r="Q48" s="79">
        <f t="shared" si="13"/>
        <v>44188.777399999999</v>
      </c>
      <c r="S48" s="1">
        <f t="shared" ca="1" si="14"/>
        <v>3.6730797761662251E-6</v>
      </c>
    </row>
    <row r="49" spans="1:19" x14ac:dyDescent="0.2">
      <c r="A49" s="52" t="s">
        <v>65</v>
      </c>
      <c r="B49" s="53" t="s">
        <v>47</v>
      </c>
      <c r="C49" s="54">
        <v>59207.278100000003</v>
      </c>
      <c r="D49" s="54" t="s">
        <v>58</v>
      </c>
      <c r="E49" s="1">
        <f t="shared" si="8"/>
        <v>16218.592027638964</v>
      </c>
      <c r="F49" s="1">
        <f t="shared" si="9"/>
        <v>16218.5</v>
      </c>
      <c r="G49" s="1">
        <f t="shared" si="10"/>
        <v>4.0807999997923616E-2</v>
      </c>
      <c r="K49" s="1">
        <f t="shared" si="11"/>
        <v>4.0807999997923616E-2</v>
      </c>
      <c r="O49" s="1">
        <f t="shared" ca="1" si="12"/>
        <v>3.8191471941240937E-2</v>
      </c>
      <c r="Q49" s="79">
        <f t="shared" si="13"/>
        <v>44188.778100000003</v>
      </c>
      <c r="S49" s="1">
        <f t="shared" ca="1" si="14"/>
        <v>6.846219071407638E-6</v>
      </c>
    </row>
    <row r="50" spans="1:19" x14ac:dyDescent="0.2">
      <c r="A50" s="52" t="s">
        <v>65</v>
      </c>
      <c r="B50" s="53" t="s">
        <v>47</v>
      </c>
      <c r="C50" s="54">
        <v>59207.279799999997</v>
      </c>
      <c r="D50" s="54" t="s">
        <v>66</v>
      </c>
      <c r="E50" s="1">
        <f t="shared" si="8"/>
        <v>16218.595861372194</v>
      </c>
      <c r="F50" s="1">
        <f t="shared" si="9"/>
        <v>16218.5</v>
      </c>
      <c r="G50" s="1">
        <f t="shared" si="10"/>
        <v>4.2507999991357792E-2</v>
      </c>
      <c r="K50" s="1">
        <f t="shared" si="11"/>
        <v>4.2507999991357792E-2</v>
      </c>
      <c r="O50" s="1">
        <f t="shared" ca="1" si="12"/>
        <v>3.8191471941240937E-2</v>
      </c>
      <c r="Q50" s="79">
        <f t="shared" si="13"/>
        <v>44188.779799999997</v>
      </c>
      <c r="S50" s="1">
        <f t="shared" ca="1" si="14"/>
        <v>1.8632414407445619E-5</v>
      </c>
    </row>
    <row r="51" spans="1:19" x14ac:dyDescent="0.2">
      <c r="A51" s="75" t="s">
        <v>162</v>
      </c>
      <c r="B51" s="76" t="s">
        <v>47</v>
      </c>
      <c r="C51" s="77">
        <v>59256.052699999884</v>
      </c>
      <c r="D51" s="78" t="s">
        <v>60</v>
      </c>
      <c r="E51" s="1">
        <f t="shared" ref="E51:E70" si="15">+(C51-C$7)/C$8</f>
        <v>16328.585442638063</v>
      </c>
      <c r="F51" s="1">
        <f t="shared" ref="F51:F70" si="16">ROUND(2*E51,0)/2</f>
        <v>16328.5</v>
      </c>
      <c r="G51" s="1">
        <f t="shared" ref="G51:G70" si="17">+C51-(C$7+F51*C$8)</f>
        <v>3.7887999882514123E-2</v>
      </c>
      <c r="K51" s="1">
        <f t="shared" ref="K51:K70" si="18">+G51</f>
        <v>3.7887999882514123E-2</v>
      </c>
      <c r="O51" s="1">
        <f t="shared" ref="O51:O70" ca="1" si="19">+C$11+C$12*$F51</f>
        <v>3.8503960869462048E-2</v>
      </c>
      <c r="Q51" s="79">
        <f t="shared" ref="Q51:Q70" si="20">+C51-15018.5</f>
        <v>44237.552699999884</v>
      </c>
      <c r="S51" s="1">
        <f t="shared" ref="S51:S70" ca="1" si="21">+(O51-G51)^2</f>
        <v>3.7940793744186169E-7</v>
      </c>
    </row>
    <row r="52" spans="1:19" x14ac:dyDescent="0.2">
      <c r="A52" s="75" t="s">
        <v>162</v>
      </c>
      <c r="B52" s="76" t="s">
        <v>47</v>
      </c>
      <c r="C52" s="77">
        <v>59283.990100000054</v>
      </c>
      <c r="D52" s="78" t="s">
        <v>66</v>
      </c>
      <c r="E52" s="1">
        <f t="shared" si="15"/>
        <v>16391.588112720896</v>
      </c>
      <c r="F52" s="1">
        <f t="shared" si="16"/>
        <v>16391.5</v>
      </c>
      <c r="G52" s="1">
        <f t="shared" si="17"/>
        <v>3.9072000050509814E-2</v>
      </c>
      <c r="K52" s="1">
        <f t="shared" si="18"/>
        <v>3.9072000050509814E-2</v>
      </c>
      <c r="O52" s="1">
        <f t="shared" ca="1" si="19"/>
        <v>3.8682931801079595E-2</v>
      </c>
      <c r="Q52" s="79">
        <f t="shared" si="20"/>
        <v>44265.490100000054</v>
      </c>
      <c r="S52" s="1">
        <f t="shared" ca="1" si="21"/>
        <v>1.5137410271469502E-7</v>
      </c>
    </row>
    <row r="53" spans="1:19" x14ac:dyDescent="0.2">
      <c r="A53" s="75" t="s">
        <v>162</v>
      </c>
      <c r="B53" s="76" t="s">
        <v>47</v>
      </c>
      <c r="C53" s="77">
        <v>59283.99049999984</v>
      </c>
      <c r="D53" s="78" t="s">
        <v>60</v>
      </c>
      <c r="E53" s="1">
        <f t="shared" si="15"/>
        <v>16391.589014775294</v>
      </c>
      <c r="F53" s="1">
        <f t="shared" si="16"/>
        <v>16391.5</v>
      </c>
      <c r="G53" s="1">
        <f t="shared" si="17"/>
        <v>3.9471999836678151E-2</v>
      </c>
      <c r="K53" s="1">
        <f t="shared" si="18"/>
        <v>3.9471999836678151E-2</v>
      </c>
      <c r="O53" s="1">
        <f t="shared" ca="1" si="19"/>
        <v>3.8682931801079595E-2</v>
      </c>
      <c r="Q53" s="79">
        <f t="shared" si="20"/>
        <v>44265.49049999984</v>
      </c>
      <c r="S53" s="1">
        <f t="shared" ca="1" si="21"/>
        <v>6.2262836480336369E-7</v>
      </c>
    </row>
    <row r="54" spans="1:19" x14ac:dyDescent="0.2">
      <c r="A54" s="75" t="s">
        <v>162</v>
      </c>
      <c r="B54" s="76" t="s">
        <v>47</v>
      </c>
      <c r="C54" s="77">
        <v>59283.991100000218</v>
      </c>
      <c r="D54" s="78" t="s">
        <v>58</v>
      </c>
      <c r="E54" s="1">
        <f t="shared" si="15"/>
        <v>16391.590367858465</v>
      </c>
      <c r="F54" s="1">
        <f t="shared" si="16"/>
        <v>16391.5</v>
      </c>
      <c r="G54" s="1">
        <f t="shared" si="17"/>
        <v>4.0072000214422587E-2</v>
      </c>
      <c r="K54" s="1">
        <f t="shared" si="18"/>
        <v>4.0072000214422587E-2</v>
      </c>
      <c r="O54" s="1">
        <f t="shared" ca="1" si="19"/>
        <v>3.8682931801079595E-2</v>
      </c>
      <c r="Q54" s="79">
        <f t="shared" si="20"/>
        <v>44265.491100000218</v>
      </c>
      <c r="S54" s="1">
        <f t="shared" ca="1" si="21"/>
        <v>1.9295110569472172E-6</v>
      </c>
    </row>
    <row r="55" spans="1:19" x14ac:dyDescent="0.2">
      <c r="A55" s="75" t="s">
        <v>162</v>
      </c>
      <c r="B55" s="76" t="s">
        <v>47</v>
      </c>
      <c r="C55" s="77">
        <v>59287.984499999788</v>
      </c>
      <c r="D55" s="78" t="s">
        <v>58</v>
      </c>
      <c r="E55" s="1">
        <f t="shared" si="15"/>
        <v>16400.596032762151</v>
      </c>
      <c r="F55" s="1">
        <f t="shared" si="16"/>
        <v>16400.5</v>
      </c>
      <c r="G55" s="1">
        <f t="shared" si="17"/>
        <v>4.2583999784255866E-2</v>
      </c>
      <c r="K55" s="1">
        <f t="shared" si="18"/>
        <v>4.2583999784255866E-2</v>
      </c>
      <c r="O55" s="1">
        <f t="shared" ca="1" si="19"/>
        <v>3.8708499077024949E-2</v>
      </c>
      <c r="Q55" s="79">
        <f t="shared" si="20"/>
        <v>44269.484499999788</v>
      </c>
      <c r="S55" s="1">
        <f t="shared" ca="1" si="21"/>
        <v>1.5019505731747336E-5</v>
      </c>
    </row>
    <row r="56" spans="1:19" x14ac:dyDescent="0.2">
      <c r="A56" s="75" t="s">
        <v>162</v>
      </c>
      <c r="B56" s="76" t="s">
        <v>47</v>
      </c>
      <c r="C56" s="77">
        <v>59287.984499999788</v>
      </c>
      <c r="D56" s="78" t="s">
        <v>163</v>
      </c>
      <c r="E56" s="1">
        <f t="shared" si="15"/>
        <v>16400.596032762151</v>
      </c>
      <c r="F56" s="1">
        <f t="shared" si="16"/>
        <v>16400.5</v>
      </c>
      <c r="G56" s="1">
        <f t="shared" si="17"/>
        <v>4.2583999784255866E-2</v>
      </c>
      <c r="K56" s="1">
        <f t="shared" si="18"/>
        <v>4.2583999784255866E-2</v>
      </c>
      <c r="O56" s="1">
        <f t="shared" ca="1" si="19"/>
        <v>3.8708499077024949E-2</v>
      </c>
      <c r="Q56" s="79">
        <f t="shared" si="20"/>
        <v>44269.484499999788</v>
      </c>
      <c r="S56" s="1">
        <f t="shared" ca="1" si="21"/>
        <v>1.5019505731747336E-5</v>
      </c>
    </row>
    <row r="57" spans="1:19" x14ac:dyDescent="0.2">
      <c r="A57" s="75" t="s">
        <v>162</v>
      </c>
      <c r="B57" s="76" t="s">
        <v>47</v>
      </c>
      <c r="C57" s="77">
        <v>59287.984600000083</v>
      </c>
      <c r="D57" s="78" t="s">
        <v>60</v>
      </c>
      <c r="E57" s="1">
        <f t="shared" si="15"/>
        <v>16400.596258276539</v>
      </c>
      <c r="F57" s="1">
        <f t="shared" si="16"/>
        <v>16400.5</v>
      </c>
      <c r="G57" s="1">
        <f t="shared" si="17"/>
        <v>4.2684000080043916E-2</v>
      </c>
      <c r="K57" s="1">
        <f t="shared" si="18"/>
        <v>4.2684000080043916E-2</v>
      </c>
      <c r="O57" s="1">
        <f t="shared" ca="1" si="19"/>
        <v>3.8708499077024949E-2</v>
      </c>
      <c r="Q57" s="79">
        <f t="shared" si="20"/>
        <v>44269.484600000083</v>
      </c>
      <c r="S57" s="1">
        <f t="shared" ca="1" si="21"/>
        <v>1.5804608225004809E-5</v>
      </c>
    </row>
    <row r="58" spans="1:19" x14ac:dyDescent="0.2">
      <c r="A58" s="75" t="s">
        <v>162</v>
      </c>
      <c r="B58" s="76" t="s">
        <v>45</v>
      </c>
      <c r="C58" s="77">
        <v>59289.972899999935</v>
      </c>
      <c r="D58" s="78" t="s">
        <v>163</v>
      </c>
      <c r="E58" s="1">
        <f t="shared" si="15"/>
        <v>16405.080147576027</v>
      </c>
      <c r="F58" s="1">
        <f t="shared" si="16"/>
        <v>16405</v>
      </c>
      <c r="G58" s="1">
        <f t="shared" si="17"/>
        <v>3.5539999931643251E-2</v>
      </c>
      <c r="K58" s="1">
        <f t="shared" si="18"/>
        <v>3.5539999931643251E-2</v>
      </c>
      <c r="O58" s="1">
        <f t="shared" ca="1" si="19"/>
        <v>3.872128271499764E-2</v>
      </c>
      <c r="Q58" s="79">
        <f t="shared" si="20"/>
        <v>44271.472899999935</v>
      </c>
      <c r="S58" s="1">
        <f t="shared" ca="1" si="21"/>
        <v>1.0120560147667047E-5</v>
      </c>
    </row>
    <row r="59" spans="1:19" x14ac:dyDescent="0.2">
      <c r="A59" s="75" t="s">
        <v>162</v>
      </c>
      <c r="B59" s="76" t="s">
        <v>45</v>
      </c>
      <c r="C59" s="77">
        <v>59289.977700000163</v>
      </c>
      <c r="D59" s="78" t="s">
        <v>60</v>
      </c>
      <c r="E59" s="1">
        <f t="shared" si="15"/>
        <v>16405.090972235113</v>
      </c>
      <c r="F59" s="1">
        <f t="shared" si="16"/>
        <v>16405</v>
      </c>
      <c r="G59" s="1">
        <f t="shared" si="17"/>
        <v>4.0340000159631018E-2</v>
      </c>
      <c r="K59" s="1">
        <f t="shared" si="18"/>
        <v>4.0340000159631018E-2</v>
      </c>
      <c r="O59" s="1">
        <f t="shared" ca="1" si="19"/>
        <v>3.872128271499764E-2</v>
      </c>
      <c r="Q59" s="79">
        <f t="shared" si="20"/>
        <v>44271.477700000163</v>
      </c>
      <c r="S59" s="1">
        <f t="shared" ca="1" si="21"/>
        <v>2.6202461655604114E-6</v>
      </c>
    </row>
    <row r="60" spans="1:19" x14ac:dyDescent="0.2">
      <c r="A60" s="75" t="s">
        <v>162</v>
      </c>
      <c r="B60" s="76" t="s">
        <v>45</v>
      </c>
      <c r="C60" s="77">
        <v>59289.978099999949</v>
      </c>
      <c r="D60" s="78" t="s">
        <v>58</v>
      </c>
      <c r="E60" s="1">
        <f t="shared" si="15"/>
        <v>16405.091874289512</v>
      </c>
      <c r="F60" s="1">
        <f t="shared" si="16"/>
        <v>16405</v>
      </c>
      <c r="G60" s="1">
        <f t="shared" si="17"/>
        <v>4.0739999945799354E-2</v>
      </c>
      <c r="K60" s="1">
        <f t="shared" si="18"/>
        <v>4.0739999945799354E-2</v>
      </c>
      <c r="O60" s="1">
        <f t="shared" ca="1" si="19"/>
        <v>3.872128271499764E-2</v>
      </c>
      <c r="Q60" s="79">
        <f t="shared" si="20"/>
        <v>44271.478099999949</v>
      </c>
      <c r="S60" s="1">
        <f t="shared" ca="1" si="21"/>
        <v>4.0752192579357421E-6</v>
      </c>
    </row>
    <row r="61" spans="1:19" x14ac:dyDescent="0.2">
      <c r="A61" s="75" t="s">
        <v>162</v>
      </c>
      <c r="B61" s="76" t="s">
        <v>47</v>
      </c>
      <c r="C61" s="77">
        <v>59548.276999999769</v>
      </c>
      <c r="D61" s="78" t="s">
        <v>60</v>
      </c>
      <c r="E61" s="1">
        <f t="shared" si="15"/>
        <v>16987.591333056178</v>
      </c>
      <c r="F61" s="1">
        <f t="shared" si="16"/>
        <v>16987.5</v>
      </c>
      <c r="G61" s="1">
        <f t="shared" si="17"/>
        <v>4.0499999769963324E-2</v>
      </c>
      <c r="K61" s="1">
        <f t="shared" si="18"/>
        <v>4.0499999769963324E-2</v>
      </c>
      <c r="O61" s="1">
        <f t="shared" ca="1" si="19"/>
        <v>4.037605363035035E-2</v>
      </c>
      <c r="Q61" s="79">
        <f t="shared" si="20"/>
        <v>44529.776999999769</v>
      </c>
      <c r="S61" s="1">
        <f t="shared" ca="1" si="21"/>
        <v>1.5362645524958777E-8</v>
      </c>
    </row>
    <row r="62" spans="1:19" x14ac:dyDescent="0.2">
      <c r="A62" s="75" t="s">
        <v>162</v>
      </c>
      <c r="B62" s="76" t="s">
        <v>45</v>
      </c>
      <c r="C62" s="77">
        <v>59550.273500000127</v>
      </c>
      <c r="D62" s="78" t="s">
        <v>58</v>
      </c>
      <c r="E62" s="1">
        <f t="shared" si="15"/>
        <v>16992.093714481871</v>
      </c>
      <c r="F62" s="1">
        <f t="shared" si="16"/>
        <v>16992</v>
      </c>
      <c r="G62" s="1">
        <f t="shared" si="17"/>
        <v>4.1556000127457082E-2</v>
      </c>
      <c r="K62" s="1">
        <f t="shared" si="18"/>
        <v>4.1556000127457082E-2</v>
      </c>
      <c r="O62" s="1">
        <f t="shared" ca="1" si="19"/>
        <v>4.0388837268323027E-2</v>
      </c>
      <c r="Q62" s="79">
        <f t="shared" si="20"/>
        <v>44531.773500000127</v>
      </c>
      <c r="S62" s="1">
        <f t="shared" ca="1" si="21"/>
        <v>1.3622691397419818E-6</v>
      </c>
    </row>
    <row r="63" spans="1:19" x14ac:dyDescent="0.2">
      <c r="A63" s="75" t="s">
        <v>162</v>
      </c>
      <c r="B63" s="76" t="s">
        <v>47</v>
      </c>
      <c r="C63" s="77">
        <v>59552.26500000013</v>
      </c>
      <c r="D63" s="78" t="s">
        <v>60</v>
      </c>
      <c r="E63" s="1">
        <f t="shared" si="15"/>
        <v>16996.584820220753</v>
      </c>
      <c r="F63" s="1">
        <f t="shared" si="16"/>
        <v>16996.5</v>
      </c>
      <c r="G63" s="1">
        <f t="shared" si="17"/>
        <v>3.7612000131048262E-2</v>
      </c>
      <c r="K63" s="1">
        <f t="shared" si="18"/>
        <v>3.7612000131048262E-2</v>
      </c>
      <c r="O63" s="1">
        <f t="shared" ca="1" si="19"/>
        <v>4.0401620906295704E-2</v>
      </c>
      <c r="Q63" s="79">
        <f t="shared" si="20"/>
        <v>44533.76500000013</v>
      </c>
      <c r="S63" s="1">
        <f t="shared" ca="1" si="21"/>
        <v>7.7819840696921402E-6</v>
      </c>
    </row>
    <row r="64" spans="1:19" x14ac:dyDescent="0.2">
      <c r="A64" s="75" t="s">
        <v>162</v>
      </c>
      <c r="B64" s="76" t="s">
        <v>47</v>
      </c>
      <c r="C64" s="77">
        <v>59552.265199999791</v>
      </c>
      <c r="D64" s="78" t="s">
        <v>58</v>
      </c>
      <c r="E64" s="1">
        <f t="shared" si="15"/>
        <v>16996.585271247426</v>
      </c>
      <c r="F64" s="1">
        <f t="shared" si="16"/>
        <v>16996.5</v>
      </c>
      <c r="G64" s="1">
        <f t="shared" si="17"/>
        <v>3.7811999791301787E-2</v>
      </c>
      <c r="K64" s="1">
        <f t="shared" si="18"/>
        <v>3.7811999791301787E-2</v>
      </c>
      <c r="O64" s="1">
        <f t="shared" ca="1" si="19"/>
        <v>4.0401620906295704E-2</v>
      </c>
      <c r="Q64" s="79">
        <f t="shared" si="20"/>
        <v>44533.765199999791</v>
      </c>
      <c r="S64" s="1">
        <f t="shared" ca="1" si="21"/>
        <v>6.7061375192223405E-6</v>
      </c>
    </row>
    <row r="65" spans="1:19" x14ac:dyDescent="0.2">
      <c r="A65" s="75" t="s">
        <v>162</v>
      </c>
      <c r="B65" s="76" t="s">
        <v>45</v>
      </c>
      <c r="C65" s="77">
        <v>59562.246600000188</v>
      </c>
      <c r="D65" s="78" t="s">
        <v>60</v>
      </c>
      <c r="E65" s="1">
        <f t="shared" si="15"/>
        <v>17019.09469772183</v>
      </c>
      <c r="F65" s="1">
        <f t="shared" si="16"/>
        <v>17019</v>
      </c>
      <c r="G65" s="1">
        <f t="shared" si="17"/>
        <v>4.199200018774718E-2</v>
      </c>
      <c r="K65" s="1">
        <f t="shared" si="18"/>
        <v>4.199200018774718E-2</v>
      </c>
      <c r="O65" s="1">
        <f t="shared" ca="1" si="19"/>
        <v>4.0465539096159117E-2</v>
      </c>
      <c r="Q65" s="79">
        <f t="shared" si="20"/>
        <v>44543.746600000188</v>
      </c>
      <c r="S65" s="1">
        <f t="shared" ca="1" si="21"/>
        <v>2.3300834641322219E-6</v>
      </c>
    </row>
    <row r="66" spans="1:19" x14ac:dyDescent="0.2">
      <c r="A66" s="75" t="s">
        <v>162</v>
      </c>
      <c r="B66" s="76" t="s">
        <v>45</v>
      </c>
      <c r="C66" s="77">
        <v>59562.246999999974</v>
      </c>
      <c r="D66" s="78" t="s">
        <v>58</v>
      </c>
      <c r="E66" s="1">
        <f t="shared" si="15"/>
        <v>17019.095599776228</v>
      </c>
      <c r="F66" s="1">
        <f t="shared" si="16"/>
        <v>17019</v>
      </c>
      <c r="G66" s="1">
        <f t="shared" si="17"/>
        <v>4.2391999973915517E-2</v>
      </c>
      <c r="K66" s="1">
        <f t="shared" si="18"/>
        <v>4.2391999973915517E-2</v>
      </c>
      <c r="O66" s="1">
        <f t="shared" ca="1" si="19"/>
        <v>4.0465539096159117E-2</v>
      </c>
      <c r="Q66" s="79">
        <f t="shared" si="20"/>
        <v>44543.746999999974</v>
      </c>
      <c r="S66" s="1">
        <f t="shared" ca="1" si="21"/>
        <v>3.7112515135259597E-6</v>
      </c>
    </row>
    <row r="67" spans="1:19" x14ac:dyDescent="0.2">
      <c r="A67" s="75" t="s">
        <v>162</v>
      </c>
      <c r="B67" s="76" t="s">
        <v>47</v>
      </c>
      <c r="C67" s="77">
        <v>59564.242000000086</v>
      </c>
      <c r="D67" s="78" t="s">
        <v>60</v>
      </c>
      <c r="E67" s="1">
        <f t="shared" si="15"/>
        <v>17023.594598495562</v>
      </c>
      <c r="F67" s="1">
        <f t="shared" si="16"/>
        <v>17023.5</v>
      </c>
      <c r="G67" s="1">
        <f t="shared" si="17"/>
        <v>4.1948000085540116E-2</v>
      </c>
      <c r="K67" s="1">
        <f t="shared" si="18"/>
        <v>4.1948000085540116E-2</v>
      </c>
      <c r="O67" s="1">
        <f t="shared" ca="1" si="19"/>
        <v>4.0478322734131794E-2</v>
      </c>
      <c r="Q67" s="79">
        <f t="shared" si="20"/>
        <v>44545.742000000086</v>
      </c>
      <c r="S67" s="1">
        <f t="shared" ca="1" si="21"/>
        <v>2.1599515172425795E-6</v>
      </c>
    </row>
    <row r="68" spans="1:19" x14ac:dyDescent="0.2">
      <c r="A68" s="75" t="s">
        <v>162</v>
      </c>
      <c r="B68" s="76" t="s">
        <v>47</v>
      </c>
      <c r="C68" s="77">
        <v>59564.242399999872</v>
      </c>
      <c r="D68" s="78" t="s">
        <v>58</v>
      </c>
      <c r="E68" s="1">
        <f t="shared" si="15"/>
        <v>17023.59550054996</v>
      </c>
      <c r="F68" s="1">
        <f t="shared" si="16"/>
        <v>17023.5</v>
      </c>
      <c r="G68" s="1">
        <f t="shared" si="17"/>
        <v>4.2347999871708453E-2</v>
      </c>
      <c r="K68" s="1">
        <f t="shared" si="18"/>
        <v>4.2347999871708453E-2</v>
      </c>
      <c r="O68" s="1">
        <f t="shared" ca="1" si="19"/>
        <v>4.0478322734131794E-2</v>
      </c>
      <c r="Q68" s="79">
        <f t="shared" si="20"/>
        <v>44545.742399999872</v>
      </c>
      <c r="S68" s="1">
        <f t="shared" ca="1" si="21"/>
        <v>3.4956925987768473E-6</v>
      </c>
    </row>
    <row r="69" spans="1:19" x14ac:dyDescent="0.2">
      <c r="A69" s="75" t="s">
        <v>162</v>
      </c>
      <c r="B69" s="76" t="s">
        <v>45</v>
      </c>
      <c r="C69" s="77">
        <v>59566.237199999858</v>
      </c>
      <c r="D69" s="78" t="s">
        <v>58</v>
      </c>
      <c r="E69" s="1">
        <f t="shared" si="15"/>
        <v>17028.094048241568</v>
      </c>
      <c r="F69" s="1">
        <f t="shared" si="16"/>
        <v>17028</v>
      </c>
      <c r="G69" s="1">
        <f t="shared" si="17"/>
        <v>4.1703999857418239E-2</v>
      </c>
      <c r="K69" s="1">
        <f t="shared" si="18"/>
        <v>4.1703999857418239E-2</v>
      </c>
      <c r="O69" s="1">
        <f t="shared" ca="1" si="19"/>
        <v>4.0491106372104485E-2</v>
      </c>
      <c r="Q69" s="79">
        <f t="shared" si="20"/>
        <v>44547.737199999858</v>
      </c>
      <c r="S69" s="1">
        <f t="shared" ca="1" si="21"/>
        <v>1.4711106067165457E-6</v>
      </c>
    </row>
    <row r="70" spans="1:19" x14ac:dyDescent="0.2">
      <c r="A70" s="75" t="s">
        <v>162</v>
      </c>
      <c r="B70" s="76" t="s">
        <v>45</v>
      </c>
      <c r="C70" s="77">
        <v>59566.237999999896</v>
      </c>
      <c r="D70" s="78" t="s">
        <v>60</v>
      </c>
      <c r="E70" s="1">
        <f t="shared" si="15"/>
        <v>17028.095852351416</v>
      </c>
      <c r="F70" s="1">
        <f t="shared" si="16"/>
        <v>17028</v>
      </c>
      <c r="G70" s="1">
        <f t="shared" si="17"/>
        <v>4.25039998954162E-2</v>
      </c>
      <c r="K70" s="1">
        <f t="shared" si="18"/>
        <v>4.25039998954162E-2</v>
      </c>
      <c r="O70" s="1">
        <f t="shared" ca="1" si="19"/>
        <v>4.0491106372104485E-2</v>
      </c>
      <c r="Q70" s="79">
        <f t="shared" si="20"/>
        <v>44547.737999999896</v>
      </c>
      <c r="S70" s="1">
        <f t="shared" ca="1" si="21"/>
        <v>4.0517403361902498E-6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A4" workbookViewId="0">
      <selection activeCell="A19" sqref="A19"/>
    </sheetView>
  </sheetViews>
  <sheetFormatPr defaultRowHeight="12.75" x14ac:dyDescent="0.2"/>
  <cols>
    <col min="1" max="1" width="19.7109375" style="25" customWidth="1"/>
    <col min="2" max="2" width="4.42578125" customWidth="1"/>
    <col min="3" max="3" width="12.7109375" style="25" customWidth="1"/>
    <col min="4" max="4" width="5.42578125" customWidth="1"/>
    <col min="5" max="5" width="14.85546875" customWidth="1"/>
    <col min="7" max="7" width="12" customWidth="1"/>
    <col min="8" max="8" width="14.140625" style="2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5" t="s">
        <v>67</v>
      </c>
      <c r="I1" s="56" t="s">
        <v>68</v>
      </c>
      <c r="J1" s="57" t="s">
        <v>34</v>
      </c>
    </row>
    <row r="2" spans="1:16" x14ac:dyDescent="0.2">
      <c r="I2" s="58" t="s">
        <v>69</v>
      </c>
      <c r="J2" s="59" t="s">
        <v>33</v>
      </c>
    </row>
    <row r="3" spans="1:16" x14ac:dyDescent="0.2">
      <c r="A3" s="60" t="s">
        <v>70</v>
      </c>
      <c r="I3" s="58" t="s">
        <v>71</v>
      </c>
      <c r="J3" s="59" t="s">
        <v>31</v>
      </c>
    </row>
    <row r="4" spans="1:16" x14ac:dyDescent="0.2">
      <c r="I4" s="58" t="s">
        <v>72</v>
      </c>
      <c r="J4" s="59" t="s">
        <v>31</v>
      </c>
    </row>
    <row r="5" spans="1:16" x14ac:dyDescent="0.2">
      <c r="I5" s="61" t="s">
        <v>60</v>
      </c>
      <c r="J5" s="62" t="s">
        <v>32</v>
      </c>
    </row>
    <row r="11" spans="1:16" ht="12.75" customHeight="1" x14ac:dyDescent="0.2">
      <c r="A11" s="25" t="str">
        <f t="shared" ref="A11:A27" si="0">P11</f>
        <v>BAVM 158 </v>
      </c>
      <c r="B11" s="3" t="str">
        <f t="shared" ref="B11:B27" si="1">IF(H11=INT(H11),"I","II")</f>
        <v>I</v>
      </c>
      <c r="C11" s="25">
        <f t="shared" ref="C11:C27" si="2">1*G11</f>
        <v>52309.406600000002</v>
      </c>
      <c r="D11" t="str">
        <f t="shared" ref="D11:D27" si="3">VLOOKUP(F11,I$1:J$5,2,FALSE)</f>
        <v>vis</v>
      </c>
      <c r="E11">
        <f>VLOOKUP(C11,Active!C$21:E$973,3,FALSE)</f>
        <v>662.94538959750298</v>
      </c>
      <c r="F11" s="3" t="s">
        <v>60</v>
      </c>
      <c r="G11" t="str">
        <f t="shared" ref="G11:G27" si="4">MID(I11,3,LEN(I11)-3)</f>
        <v>52309.4066</v>
      </c>
      <c r="H11" s="25">
        <f t="shared" ref="H11:H27" si="5">1*K11</f>
        <v>-430</v>
      </c>
      <c r="I11" s="63" t="s">
        <v>73</v>
      </c>
      <c r="J11" s="64" t="s">
        <v>74</v>
      </c>
      <c r="K11" s="63">
        <v>-430</v>
      </c>
      <c r="L11" s="63" t="s">
        <v>75</v>
      </c>
      <c r="M11" s="64" t="s">
        <v>76</v>
      </c>
      <c r="N11" s="64" t="s">
        <v>77</v>
      </c>
      <c r="O11" s="65" t="s">
        <v>78</v>
      </c>
      <c r="P11" s="66" t="s">
        <v>79</v>
      </c>
    </row>
    <row r="12" spans="1:16" ht="12.75" customHeight="1" x14ac:dyDescent="0.2">
      <c r="A12" s="25" t="str">
        <f t="shared" si="0"/>
        <v>IBVS 5603 </v>
      </c>
      <c r="B12" s="3" t="str">
        <f t="shared" si="1"/>
        <v>I</v>
      </c>
      <c r="C12" s="25">
        <f t="shared" si="2"/>
        <v>53118.693899999998</v>
      </c>
      <c r="D12" t="str">
        <f t="shared" si="3"/>
        <v>vis</v>
      </c>
      <c r="E12">
        <f>VLOOKUP(C12,Active!C$21:E$973,3,FALSE)</f>
        <v>2487.9992873766355</v>
      </c>
      <c r="F12" s="3" t="s">
        <v>60</v>
      </c>
      <c r="G12" t="str">
        <f t="shared" si="4"/>
        <v>53118.6939</v>
      </c>
      <c r="H12" s="25">
        <f t="shared" si="5"/>
        <v>1395</v>
      </c>
      <c r="I12" s="63" t="s">
        <v>80</v>
      </c>
      <c r="J12" s="64" t="s">
        <v>81</v>
      </c>
      <c r="K12" s="63">
        <v>1395</v>
      </c>
      <c r="L12" s="63" t="s">
        <v>82</v>
      </c>
      <c r="M12" s="64" t="s">
        <v>76</v>
      </c>
      <c r="N12" s="64" t="s">
        <v>83</v>
      </c>
      <c r="O12" s="65" t="s">
        <v>84</v>
      </c>
      <c r="P12" s="66" t="s">
        <v>85</v>
      </c>
    </row>
    <row r="13" spans="1:16" ht="12.75" customHeight="1" x14ac:dyDescent="0.2">
      <c r="A13" s="25" t="str">
        <f t="shared" si="0"/>
        <v>IBVS 5843 </v>
      </c>
      <c r="B13" s="3" t="str">
        <f t="shared" si="1"/>
        <v>II</v>
      </c>
      <c r="C13" s="25">
        <f t="shared" si="2"/>
        <v>53410.700299999997</v>
      </c>
      <c r="D13" t="str">
        <f t="shared" si="3"/>
        <v>vis</v>
      </c>
      <c r="E13">
        <f>VLOOKUP(C13,Active!C$21:E$973,3,FALSE)</f>
        <v>3146.51378339857</v>
      </c>
      <c r="F13" s="3" t="s">
        <v>60</v>
      </c>
      <c r="G13" t="str">
        <f t="shared" si="4"/>
        <v>53410.7003</v>
      </c>
      <c r="H13" s="25">
        <f t="shared" si="5"/>
        <v>2053.5</v>
      </c>
      <c r="I13" s="63" t="s">
        <v>86</v>
      </c>
      <c r="J13" s="64" t="s">
        <v>87</v>
      </c>
      <c r="K13" s="63">
        <v>2053.5</v>
      </c>
      <c r="L13" s="63" t="s">
        <v>88</v>
      </c>
      <c r="M13" s="64" t="s">
        <v>89</v>
      </c>
      <c r="N13" s="64" t="s">
        <v>90</v>
      </c>
      <c r="O13" s="65" t="s">
        <v>91</v>
      </c>
      <c r="P13" s="66" t="s">
        <v>92</v>
      </c>
    </row>
    <row r="14" spans="1:16" ht="12.75" customHeight="1" x14ac:dyDescent="0.2">
      <c r="A14" s="25" t="str">
        <f t="shared" si="0"/>
        <v>IBVS 5843 </v>
      </c>
      <c r="B14" s="3" t="str">
        <f t="shared" si="1"/>
        <v>I</v>
      </c>
      <c r="C14" s="25">
        <f t="shared" si="2"/>
        <v>53411.805999999997</v>
      </c>
      <c r="D14" t="str">
        <f t="shared" si="3"/>
        <v>vis</v>
      </c>
      <c r="E14">
        <f>VLOOKUP(C14,Active!C$21:E$973,3,FALSE)</f>
        <v>3149.0072886034268</v>
      </c>
      <c r="F14" s="3" t="s">
        <v>60</v>
      </c>
      <c r="G14" t="str">
        <f t="shared" si="4"/>
        <v>53411.8060</v>
      </c>
      <c r="H14" s="25">
        <f t="shared" si="5"/>
        <v>2056</v>
      </c>
      <c r="I14" s="63" t="s">
        <v>93</v>
      </c>
      <c r="J14" s="64" t="s">
        <v>94</v>
      </c>
      <c r="K14" s="63" t="s">
        <v>95</v>
      </c>
      <c r="L14" s="63" t="s">
        <v>96</v>
      </c>
      <c r="M14" s="64" t="s">
        <v>89</v>
      </c>
      <c r="N14" s="64" t="s">
        <v>90</v>
      </c>
      <c r="O14" s="65" t="s">
        <v>91</v>
      </c>
      <c r="P14" s="66" t="s">
        <v>92</v>
      </c>
    </row>
    <row r="15" spans="1:16" ht="12.75" customHeight="1" x14ac:dyDescent="0.2">
      <c r="A15" s="25" t="str">
        <f t="shared" si="0"/>
        <v>IBVS 5843 </v>
      </c>
      <c r="B15" s="3" t="str">
        <f t="shared" si="1"/>
        <v>II</v>
      </c>
      <c r="C15" s="25">
        <f t="shared" si="2"/>
        <v>53413.798199999997</v>
      </c>
      <c r="D15" t="str">
        <f t="shared" si="3"/>
        <v>vis</v>
      </c>
      <c r="E15">
        <f>VLOOKUP(C15,Active!C$21:E$973,3,FALSE)</f>
        <v>3153.499972938343</v>
      </c>
      <c r="F15" s="3" t="s">
        <v>60</v>
      </c>
      <c r="G15" t="str">
        <f t="shared" si="4"/>
        <v>53413.7982</v>
      </c>
      <c r="H15" s="25">
        <f t="shared" si="5"/>
        <v>2060.5</v>
      </c>
      <c r="I15" s="63" t="s">
        <v>97</v>
      </c>
      <c r="J15" s="64" t="s">
        <v>98</v>
      </c>
      <c r="K15" s="63" t="s">
        <v>99</v>
      </c>
      <c r="L15" s="63" t="s">
        <v>100</v>
      </c>
      <c r="M15" s="64" t="s">
        <v>89</v>
      </c>
      <c r="N15" s="64" t="s">
        <v>90</v>
      </c>
      <c r="O15" s="65" t="s">
        <v>91</v>
      </c>
      <c r="P15" s="66" t="s">
        <v>92</v>
      </c>
    </row>
    <row r="16" spans="1:16" ht="12.75" customHeight="1" x14ac:dyDescent="0.2">
      <c r="A16" s="25" t="str">
        <f t="shared" si="0"/>
        <v>IBVS 5843 </v>
      </c>
      <c r="B16" s="3" t="str">
        <f t="shared" si="1"/>
        <v>I</v>
      </c>
      <c r="C16" s="25">
        <f t="shared" si="2"/>
        <v>53459.693200000002</v>
      </c>
      <c r="D16" t="str">
        <f t="shared" si="3"/>
        <v>vis</v>
      </c>
      <c r="E16">
        <f>VLOOKUP(C16,Active!C$21:E$973,3,FALSE)</f>
        <v>3256.9994948492654</v>
      </c>
      <c r="F16" s="3" t="s">
        <v>60</v>
      </c>
      <c r="G16" t="str">
        <f t="shared" si="4"/>
        <v>53459.6932</v>
      </c>
      <c r="H16" s="25">
        <f t="shared" si="5"/>
        <v>2164</v>
      </c>
      <c r="I16" s="63" t="s">
        <v>101</v>
      </c>
      <c r="J16" s="64" t="s">
        <v>102</v>
      </c>
      <c r="K16" s="63" t="s">
        <v>103</v>
      </c>
      <c r="L16" s="63" t="s">
        <v>104</v>
      </c>
      <c r="M16" s="64" t="s">
        <v>89</v>
      </c>
      <c r="N16" s="64" t="s">
        <v>90</v>
      </c>
      <c r="O16" s="65" t="s">
        <v>91</v>
      </c>
      <c r="P16" s="66" t="s">
        <v>92</v>
      </c>
    </row>
    <row r="17" spans="1:16" ht="12.75" customHeight="1" x14ac:dyDescent="0.2">
      <c r="A17" s="25" t="str">
        <f t="shared" si="0"/>
        <v>BAVM 241 (=IBVS 6157) </v>
      </c>
      <c r="B17" s="3" t="str">
        <f t="shared" si="1"/>
        <v>I</v>
      </c>
      <c r="C17" s="25">
        <f t="shared" si="2"/>
        <v>56727.369200000001</v>
      </c>
      <c r="D17" t="str">
        <f t="shared" si="3"/>
        <v>vis</v>
      </c>
      <c r="E17">
        <f>VLOOKUP(C17,Active!C$21:E$973,3,FALSE)</f>
        <v>10626.057208320552</v>
      </c>
      <c r="F17" s="3" t="s">
        <v>60</v>
      </c>
      <c r="G17" t="str">
        <f t="shared" si="4"/>
        <v>56727.3692</v>
      </c>
      <c r="H17" s="25">
        <f t="shared" si="5"/>
        <v>9533</v>
      </c>
      <c r="I17" s="63" t="s">
        <v>105</v>
      </c>
      <c r="J17" s="64" t="s">
        <v>106</v>
      </c>
      <c r="K17" s="63" t="s">
        <v>107</v>
      </c>
      <c r="L17" s="63" t="s">
        <v>108</v>
      </c>
      <c r="M17" s="64" t="s">
        <v>89</v>
      </c>
      <c r="N17" s="64" t="s">
        <v>60</v>
      </c>
      <c r="O17" s="65" t="s">
        <v>109</v>
      </c>
      <c r="P17" s="66" t="s">
        <v>110</v>
      </c>
    </row>
    <row r="18" spans="1:16" ht="12.75" customHeight="1" x14ac:dyDescent="0.2">
      <c r="A18" s="25" t="str">
        <f t="shared" si="0"/>
        <v>OEJV 0172 </v>
      </c>
      <c r="B18" s="3" t="str">
        <f t="shared" si="1"/>
        <v>II</v>
      </c>
      <c r="C18" s="25">
        <f t="shared" si="2"/>
        <v>57013.606</v>
      </c>
      <c r="D18" t="str">
        <f t="shared" si="3"/>
        <v>vis</v>
      </c>
      <c r="E18">
        <f>VLOOKUP(C18,Active!C$21:E$973,3,FALSE)</f>
        <v>11271.56046473867</v>
      </c>
      <c r="F18" s="3" t="s">
        <v>60</v>
      </c>
      <c r="G18" t="str">
        <f t="shared" si="4"/>
        <v>57013.606</v>
      </c>
      <c r="H18" s="25">
        <f t="shared" si="5"/>
        <v>10178.5</v>
      </c>
      <c r="I18" s="63" t="s">
        <v>111</v>
      </c>
      <c r="J18" s="64" t="s">
        <v>112</v>
      </c>
      <c r="K18" s="63" t="s">
        <v>113</v>
      </c>
      <c r="L18" s="63" t="s">
        <v>114</v>
      </c>
      <c r="M18" s="64" t="s">
        <v>89</v>
      </c>
      <c r="N18" s="64" t="s">
        <v>77</v>
      </c>
      <c r="O18" s="65" t="s">
        <v>115</v>
      </c>
      <c r="P18" s="66" t="s">
        <v>116</v>
      </c>
    </row>
    <row r="19" spans="1:16" ht="12.75" customHeight="1" x14ac:dyDescent="0.2">
      <c r="A19" s="25" t="str">
        <f t="shared" si="0"/>
        <v>VSB 46 </v>
      </c>
      <c r="B19" s="3" t="str">
        <f t="shared" si="1"/>
        <v>II</v>
      </c>
      <c r="C19" s="25">
        <f t="shared" si="2"/>
        <v>54147.240100000003</v>
      </c>
      <c r="D19" t="str">
        <f t="shared" si="3"/>
        <v>vis</v>
      </c>
      <c r="E19">
        <f>VLOOKUP(C19,Active!C$21:E$973,3,FALSE)</f>
        <v>4807.5120875354069</v>
      </c>
      <c r="F19" s="3" t="s">
        <v>60</v>
      </c>
      <c r="G19" t="str">
        <f t="shared" si="4"/>
        <v>54147.2401</v>
      </c>
      <c r="H19" s="25">
        <f t="shared" si="5"/>
        <v>3714.5</v>
      </c>
      <c r="I19" s="63" t="s">
        <v>117</v>
      </c>
      <c r="J19" s="64" t="s">
        <v>118</v>
      </c>
      <c r="K19" s="63" t="s">
        <v>119</v>
      </c>
      <c r="L19" s="63" t="s">
        <v>104</v>
      </c>
      <c r="M19" s="64" t="s">
        <v>89</v>
      </c>
      <c r="N19" s="64" t="s">
        <v>60</v>
      </c>
      <c r="O19" s="65" t="s">
        <v>120</v>
      </c>
      <c r="P19" s="66" t="s">
        <v>49</v>
      </c>
    </row>
    <row r="20" spans="1:16" ht="12.75" customHeight="1" x14ac:dyDescent="0.2">
      <c r="A20" s="25" t="str">
        <f t="shared" si="0"/>
        <v>VSB 46 </v>
      </c>
      <c r="B20" s="3" t="str">
        <f t="shared" si="1"/>
        <v>I</v>
      </c>
      <c r="C20" s="25">
        <f t="shared" si="2"/>
        <v>54174.069900000002</v>
      </c>
      <c r="D20" t="str">
        <f t="shared" si="3"/>
        <v>vis</v>
      </c>
      <c r="E20">
        <f>VLOOKUP(C20,Active!C$21:E$973,3,FALSE)</f>
        <v>4868.0169676523119</v>
      </c>
      <c r="F20" s="3" t="s">
        <v>60</v>
      </c>
      <c r="G20" t="str">
        <f t="shared" si="4"/>
        <v>54174.0699</v>
      </c>
      <c r="H20" s="25">
        <f t="shared" si="5"/>
        <v>3775</v>
      </c>
      <c r="I20" s="63" t="s">
        <v>121</v>
      </c>
      <c r="J20" s="64" t="s">
        <v>122</v>
      </c>
      <c r="K20" s="63" t="s">
        <v>123</v>
      </c>
      <c r="L20" s="63" t="s">
        <v>124</v>
      </c>
      <c r="M20" s="64" t="s">
        <v>89</v>
      </c>
      <c r="N20" s="64" t="s">
        <v>58</v>
      </c>
      <c r="O20" s="65" t="s">
        <v>125</v>
      </c>
      <c r="P20" s="66" t="s">
        <v>49</v>
      </c>
    </row>
    <row r="21" spans="1:16" ht="12.75" customHeight="1" x14ac:dyDescent="0.2">
      <c r="A21" s="25" t="str">
        <f t="shared" si="0"/>
        <v>VSB 48 </v>
      </c>
      <c r="B21" s="3" t="str">
        <f t="shared" si="1"/>
        <v>II</v>
      </c>
      <c r="C21" s="25">
        <f t="shared" si="2"/>
        <v>54832.3514</v>
      </c>
      <c r="D21" t="str">
        <f t="shared" si="3"/>
        <v>vis</v>
      </c>
      <c r="E21">
        <f>VLOOKUP(C21,Active!C$21:E$973,3,FALSE)</f>
        <v>6352.5320680510149</v>
      </c>
      <c r="F21" s="3" t="s">
        <v>60</v>
      </c>
      <c r="G21" t="str">
        <f t="shared" si="4"/>
        <v>54832.3514</v>
      </c>
      <c r="H21" s="25">
        <f t="shared" si="5"/>
        <v>5259.5</v>
      </c>
      <c r="I21" s="63" t="s">
        <v>126</v>
      </c>
      <c r="J21" s="64" t="s">
        <v>127</v>
      </c>
      <c r="K21" s="63" t="s">
        <v>128</v>
      </c>
      <c r="L21" s="63" t="s">
        <v>129</v>
      </c>
      <c r="M21" s="64" t="s">
        <v>89</v>
      </c>
      <c r="N21" s="64" t="s">
        <v>66</v>
      </c>
      <c r="O21" s="65" t="s">
        <v>120</v>
      </c>
      <c r="P21" s="66" t="s">
        <v>50</v>
      </c>
    </row>
    <row r="22" spans="1:16" ht="12.75" customHeight="1" x14ac:dyDescent="0.2">
      <c r="A22" s="25" t="str">
        <f t="shared" si="0"/>
        <v>VSB 50 </v>
      </c>
      <c r="B22" s="3" t="str">
        <f t="shared" si="1"/>
        <v>I</v>
      </c>
      <c r="C22" s="25">
        <f t="shared" si="2"/>
        <v>54907.067600000002</v>
      </c>
      <c r="D22" t="str">
        <f t="shared" si="3"/>
        <v>vis</v>
      </c>
      <c r="E22">
        <f>VLOOKUP(C22,Active!C$21:E$973,3,FALSE)</f>
        <v>6521.0273503039925</v>
      </c>
      <c r="F22" s="3" t="s">
        <v>60</v>
      </c>
      <c r="G22" t="str">
        <f t="shared" si="4"/>
        <v>54907.0676</v>
      </c>
      <c r="H22" s="25">
        <f t="shared" si="5"/>
        <v>5428</v>
      </c>
      <c r="I22" s="63" t="s">
        <v>130</v>
      </c>
      <c r="J22" s="64" t="s">
        <v>131</v>
      </c>
      <c r="K22" s="63" t="s">
        <v>132</v>
      </c>
      <c r="L22" s="63" t="s">
        <v>133</v>
      </c>
      <c r="M22" s="64" t="s">
        <v>89</v>
      </c>
      <c r="N22" s="64" t="s">
        <v>58</v>
      </c>
      <c r="O22" s="65" t="s">
        <v>125</v>
      </c>
      <c r="P22" s="66" t="s">
        <v>51</v>
      </c>
    </row>
    <row r="23" spans="1:16" ht="12.75" customHeight="1" x14ac:dyDescent="0.2">
      <c r="A23" s="25" t="str">
        <f t="shared" si="0"/>
        <v>VSB 53 </v>
      </c>
      <c r="B23" s="3" t="str">
        <f t="shared" si="1"/>
        <v>II</v>
      </c>
      <c r="C23" s="25">
        <f t="shared" si="2"/>
        <v>55626.100599999998</v>
      </c>
      <c r="D23" t="str">
        <f t="shared" si="3"/>
        <v>vis</v>
      </c>
      <c r="E23">
        <f>VLOOKUP(C23,Active!C$21:E$973,3,FALSE)</f>
        <v>8142.5454184632499</v>
      </c>
      <c r="F23" s="3" t="s">
        <v>60</v>
      </c>
      <c r="G23" t="str">
        <f t="shared" si="4"/>
        <v>55626.1006</v>
      </c>
      <c r="H23" s="25">
        <f t="shared" si="5"/>
        <v>7049.5</v>
      </c>
      <c r="I23" s="63" t="s">
        <v>134</v>
      </c>
      <c r="J23" s="64" t="s">
        <v>135</v>
      </c>
      <c r="K23" s="63" t="s">
        <v>136</v>
      </c>
      <c r="L23" s="63" t="s">
        <v>137</v>
      </c>
      <c r="M23" s="64" t="s">
        <v>89</v>
      </c>
      <c r="N23" s="64" t="s">
        <v>58</v>
      </c>
      <c r="O23" s="65" t="s">
        <v>125</v>
      </c>
      <c r="P23" s="66" t="s">
        <v>52</v>
      </c>
    </row>
    <row r="24" spans="1:16" ht="12.75" customHeight="1" x14ac:dyDescent="0.2">
      <c r="A24" s="25" t="str">
        <f t="shared" si="0"/>
        <v>VSB 53 </v>
      </c>
      <c r="B24" s="3" t="str">
        <f t="shared" si="1"/>
        <v>I</v>
      </c>
      <c r="C24" s="25">
        <f t="shared" si="2"/>
        <v>55656.031900000002</v>
      </c>
      <c r="D24" t="str">
        <f t="shared" si="3"/>
        <v>vis</v>
      </c>
      <c r="E24">
        <f>VLOOKUP(C24,Active!C$21:E$973,3,FALSE)</f>
        <v>8210.0446066138666</v>
      </c>
      <c r="F24" s="3" t="s">
        <v>60</v>
      </c>
      <c r="G24" t="str">
        <f t="shared" si="4"/>
        <v>55656.0319</v>
      </c>
      <c r="H24" s="25">
        <f t="shared" si="5"/>
        <v>7117</v>
      </c>
      <c r="I24" s="63" t="s">
        <v>138</v>
      </c>
      <c r="J24" s="64" t="s">
        <v>139</v>
      </c>
      <c r="K24" s="63" t="s">
        <v>140</v>
      </c>
      <c r="L24" s="63" t="s">
        <v>141</v>
      </c>
      <c r="M24" s="64" t="s">
        <v>89</v>
      </c>
      <c r="N24" s="64" t="s">
        <v>142</v>
      </c>
      <c r="O24" s="65" t="s">
        <v>125</v>
      </c>
      <c r="P24" s="66" t="s">
        <v>52</v>
      </c>
    </row>
    <row r="25" spans="1:16" ht="12.75" customHeight="1" x14ac:dyDescent="0.2">
      <c r="A25" s="25" t="str">
        <f t="shared" si="0"/>
        <v>VSB 55 </v>
      </c>
      <c r="B25" s="3" t="str">
        <f t="shared" si="1"/>
        <v>II</v>
      </c>
      <c r="C25" s="25">
        <f t="shared" si="2"/>
        <v>56018.982199999999</v>
      </c>
      <c r="D25" t="str">
        <f t="shared" si="3"/>
        <v>vis</v>
      </c>
      <c r="E25">
        <f>VLOOKUP(C25,Active!C$21:E$973,3,FALSE)</f>
        <v>9028.5473308195997</v>
      </c>
      <c r="F25" s="3" t="s">
        <v>60</v>
      </c>
      <c r="G25" t="str">
        <f t="shared" si="4"/>
        <v>56018.9822</v>
      </c>
      <c r="H25" s="25">
        <f t="shared" si="5"/>
        <v>7935.5</v>
      </c>
      <c r="I25" s="63" t="s">
        <v>143</v>
      </c>
      <c r="J25" s="64" t="s">
        <v>144</v>
      </c>
      <c r="K25" s="63" t="s">
        <v>145</v>
      </c>
      <c r="L25" s="63" t="s">
        <v>146</v>
      </c>
      <c r="M25" s="64" t="s">
        <v>89</v>
      </c>
      <c r="N25" s="64" t="s">
        <v>58</v>
      </c>
      <c r="O25" s="65" t="s">
        <v>125</v>
      </c>
      <c r="P25" s="66" t="s">
        <v>53</v>
      </c>
    </row>
    <row r="26" spans="1:16" ht="12.75" customHeight="1" x14ac:dyDescent="0.2">
      <c r="A26" s="25" t="str">
        <f t="shared" si="0"/>
        <v>VSB 55 </v>
      </c>
      <c r="B26" s="3" t="str">
        <f t="shared" si="1"/>
        <v>II</v>
      </c>
      <c r="C26" s="25">
        <f t="shared" si="2"/>
        <v>56026.963799999998</v>
      </c>
      <c r="D26" t="str">
        <f t="shared" si="3"/>
        <v>vis</v>
      </c>
      <c r="E26">
        <f>VLOOKUP(C26,Active!C$21:E$973,3,FALSE)</f>
        <v>9046.5469339154497</v>
      </c>
      <c r="F26" s="3" t="s">
        <v>60</v>
      </c>
      <c r="G26" t="str">
        <f t="shared" si="4"/>
        <v>56026.9638</v>
      </c>
      <c r="H26" s="25">
        <f t="shared" si="5"/>
        <v>7953.5</v>
      </c>
      <c r="I26" s="63" t="s">
        <v>147</v>
      </c>
      <c r="J26" s="64" t="s">
        <v>148</v>
      </c>
      <c r="K26" s="63" t="s">
        <v>149</v>
      </c>
      <c r="L26" s="63" t="s">
        <v>150</v>
      </c>
      <c r="M26" s="64" t="s">
        <v>89</v>
      </c>
      <c r="N26" s="64" t="s">
        <v>58</v>
      </c>
      <c r="O26" s="65" t="s">
        <v>125</v>
      </c>
      <c r="P26" s="66" t="s">
        <v>53</v>
      </c>
    </row>
    <row r="27" spans="1:16" ht="12.75" customHeight="1" x14ac:dyDescent="0.2">
      <c r="A27" s="25" t="str">
        <f t="shared" si="0"/>
        <v>VSB 59 </v>
      </c>
      <c r="B27" s="3" t="str">
        <f t="shared" si="1"/>
        <v>II</v>
      </c>
      <c r="C27" s="25">
        <f t="shared" si="2"/>
        <v>56740.005499999999</v>
      </c>
      <c r="D27" t="str">
        <f t="shared" si="3"/>
        <v>vis</v>
      </c>
      <c r="E27">
        <f>VLOOKUP(C27,Active!C$21:E$973,3,FALSE)</f>
        <v>10654.553798553097</v>
      </c>
      <c r="F27" s="3" t="s">
        <v>60</v>
      </c>
      <c r="G27" t="str">
        <f t="shared" si="4"/>
        <v>56740.0055</v>
      </c>
      <c r="H27" s="25">
        <f t="shared" si="5"/>
        <v>9561.5</v>
      </c>
      <c r="I27" s="63" t="s">
        <v>151</v>
      </c>
      <c r="J27" s="64" t="s">
        <v>152</v>
      </c>
      <c r="K27" s="63" t="s">
        <v>153</v>
      </c>
      <c r="L27" s="63" t="s">
        <v>154</v>
      </c>
      <c r="M27" s="64" t="s">
        <v>89</v>
      </c>
      <c r="N27" s="64" t="s">
        <v>58</v>
      </c>
      <c r="O27" s="65" t="s">
        <v>125</v>
      </c>
      <c r="P27" s="66" t="s">
        <v>55</v>
      </c>
    </row>
  </sheetData>
  <sheetProtection selectLockedCells="1" selectUnlockedCells="1"/>
  <hyperlinks>
    <hyperlink ref="P11" r:id="rId1"/>
    <hyperlink ref="P12" r:id="rId2"/>
    <hyperlink ref="P13" r:id="rId3"/>
    <hyperlink ref="P14" r:id="rId4"/>
    <hyperlink ref="P15" r:id="rId5"/>
    <hyperlink ref="P16" r:id="rId6"/>
    <hyperlink ref="P17" r:id="rId7"/>
    <hyperlink ref="P18" r:id="rId8"/>
    <hyperlink ref="P19" r:id="rId9"/>
    <hyperlink ref="P20" r:id="rId10"/>
    <hyperlink ref="P21" r:id="rId11"/>
    <hyperlink ref="P22" r:id="rId12"/>
    <hyperlink ref="P23" r:id="rId13"/>
    <hyperlink ref="P24" r:id="rId14"/>
    <hyperlink ref="P25" r:id="rId15"/>
    <hyperlink ref="P26" r:id="rId16"/>
    <hyperlink ref="P27" r:id="rId17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workbookViewId="0">
      <selection activeCell="U26" sqref="U26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5.285156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2" t="s">
        <v>0</v>
      </c>
    </row>
    <row r="2" spans="1:7" x14ac:dyDescent="0.2">
      <c r="A2" s="1" t="s">
        <v>1</v>
      </c>
      <c r="B2" s="1" t="s">
        <v>155</v>
      </c>
      <c r="C2" s="67" t="s">
        <v>156</v>
      </c>
      <c r="D2" s="3"/>
    </row>
    <row r="4" spans="1:7" x14ac:dyDescent="0.2">
      <c r="A4" s="4" t="s">
        <v>2</v>
      </c>
      <c r="C4" s="5">
        <v>52015.435400000002</v>
      </c>
      <c r="D4" s="6">
        <v>0.44341999999999998</v>
      </c>
    </row>
    <row r="6" spans="1:7" x14ac:dyDescent="0.2">
      <c r="A6" s="4" t="s">
        <v>5</v>
      </c>
    </row>
    <row r="7" spans="1:7" x14ac:dyDescent="0.2">
      <c r="A7" s="1" t="s">
        <v>6</v>
      </c>
      <c r="C7" s="9">
        <v>52015.435400000002</v>
      </c>
    </row>
    <row r="8" spans="1:7" x14ac:dyDescent="0.2">
      <c r="A8" s="1" t="s">
        <v>7</v>
      </c>
      <c r="C8" s="10">
        <v>0.44343199999999999</v>
      </c>
    </row>
    <row r="9" spans="1:7" x14ac:dyDescent="0.2">
      <c r="A9" s="7" t="s">
        <v>3</v>
      </c>
      <c r="B9"/>
      <c r="C9" s="8">
        <v>8</v>
      </c>
      <c r="D9" t="s">
        <v>4</v>
      </c>
      <c r="E9"/>
    </row>
    <row r="10" spans="1:7" x14ac:dyDescent="0.2">
      <c r="A10"/>
      <c r="B10"/>
      <c r="C10" s="15" t="s">
        <v>9</v>
      </c>
      <c r="D10" s="15" t="s">
        <v>10</v>
      </c>
      <c r="E10"/>
    </row>
    <row r="11" spans="1:7" x14ac:dyDescent="0.2">
      <c r="A11" t="s">
        <v>11</v>
      </c>
      <c r="B11"/>
      <c r="C11" s="16">
        <f ca="1">INTERCEPT(INDIRECT($G$11):G975,INDIRECT($F$11):F975)</f>
        <v>5.2101961974528599E-3</v>
      </c>
      <c r="D11" s="3"/>
      <c r="E11"/>
      <c r="F11" s="13" t="str">
        <f>"F"&amp;E19</f>
        <v>F21</v>
      </c>
      <c r="G11" s="14" t="str">
        <f>"G"&amp;E19</f>
        <v>G21</v>
      </c>
    </row>
    <row r="12" spans="1:7" x14ac:dyDescent="0.2">
      <c r="A12" t="s">
        <v>12</v>
      </c>
      <c r="B12"/>
      <c r="C12" s="16">
        <f ca="1">SLOPE(INDIRECT($G$11):G975,INDIRECT($F$11):F975)</f>
        <v>-7.3172254699171486E-5</v>
      </c>
      <c r="D12" s="3"/>
      <c r="E12"/>
    </row>
    <row r="13" spans="1:7" x14ac:dyDescent="0.2">
      <c r="A13" t="s">
        <v>13</v>
      </c>
      <c r="B13"/>
      <c r="C13" s="3" t="s">
        <v>14</v>
      </c>
      <c r="D13" s="3"/>
      <c r="E13"/>
    </row>
    <row r="14" spans="1:7" x14ac:dyDescent="0.2">
      <c r="A14"/>
      <c r="B14"/>
      <c r="C14"/>
      <c r="D14"/>
      <c r="E14"/>
    </row>
    <row r="15" spans="1:7" x14ac:dyDescent="0.2">
      <c r="A15" s="17" t="s">
        <v>15</v>
      </c>
      <c r="B15"/>
      <c r="C15" s="18">
        <f ca="1">(C7+C11)+(C8+C12)*INT(MAX(F21:F3516))</f>
        <v>53459.460312162642</v>
      </c>
      <c r="D15" s="19" t="s">
        <v>18</v>
      </c>
      <c r="E15" s="68">
        <f ca="1">TODAY()+15018.5-B9/24</f>
        <v>59968.5</v>
      </c>
    </row>
    <row r="16" spans="1:7" x14ac:dyDescent="0.2">
      <c r="A16" s="17" t="s">
        <v>17</v>
      </c>
      <c r="B16"/>
      <c r="C16" s="18">
        <f ca="1">+C8+C12</f>
        <v>0.44335882774530083</v>
      </c>
      <c r="D16" s="19" t="s">
        <v>22</v>
      </c>
      <c r="E16" s="16">
        <f ca="1">ROUND(2*(E15-C15)/C16,0)/2+1</f>
        <v>14682</v>
      </c>
    </row>
    <row r="17" spans="1:18" x14ac:dyDescent="0.2">
      <c r="A17" s="19" t="s">
        <v>19</v>
      </c>
      <c r="B17"/>
      <c r="C17">
        <f>COUNT(C21:C2174)</f>
        <v>7</v>
      </c>
      <c r="D17" s="19" t="s">
        <v>23</v>
      </c>
      <c r="E17" s="22">
        <f ca="1">+C15+C16*E16-15018.5-C9/24</f>
        <v>44950.021287785814</v>
      </c>
    </row>
    <row r="18" spans="1:18" x14ac:dyDescent="0.2">
      <c r="A18" s="17" t="s">
        <v>21</v>
      </c>
      <c r="B18"/>
      <c r="C18" s="20">
        <f ca="1">+C15</f>
        <v>53459.460312162642</v>
      </c>
      <c r="D18" s="21">
        <f ca="1">+C16</f>
        <v>0.44335882774530083</v>
      </c>
      <c r="E18" s="69" t="s">
        <v>157</v>
      </c>
      <c r="R18" s="1">
        <f ca="1">SQRT(SUM(R21:R27)/COUNT(R21:R27))</f>
        <v>1.9660979465925776E-2</v>
      </c>
    </row>
    <row r="19" spans="1:18" x14ac:dyDescent="0.2">
      <c r="A19" s="11" t="s">
        <v>8</v>
      </c>
      <c r="E19" s="12">
        <v>21</v>
      </c>
    </row>
    <row r="20" spans="1:18" x14ac:dyDescent="0.2">
      <c r="A20" s="15" t="s">
        <v>24</v>
      </c>
      <c r="B20" s="15" t="s">
        <v>25</v>
      </c>
      <c r="C20" s="15" t="s">
        <v>26</v>
      </c>
      <c r="D20" s="15" t="s">
        <v>27</v>
      </c>
      <c r="E20" s="15" t="s">
        <v>28</v>
      </c>
      <c r="F20" s="15" t="s">
        <v>29</v>
      </c>
      <c r="G20" s="15" t="s">
        <v>30</v>
      </c>
      <c r="H20" s="23" t="s">
        <v>158</v>
      </c>
      <c r="I20" s="23" t="s">
        <v>159</v>
      </c>
      <c r="J20" s="23" t="s">
        <v>160</v>
      </c>
      <c r="K20" s="23" t="s">
        <v>161</v>
      </c>
      <c r="L20" s="23" t="s">
        <v>35</v>
      </c>
      <c r="M20" s="23" t="s">
        <v>36</v>
      </c>
      <c r="N20" s="23" t="s">
        <v>37</v>
      </c>
      <c r="O20" s="23" t="s">
        <v>38</v>
      </c>
      <c r="P20" s="23" t="s">
        <v>39</v>
      </c>
      <c r="Q20" s="15" t="s">
        <v>40</v>
      </c>
    </row>
    <row r="21" spans="1:18" x14ac:dyDescent="0.2">
      <c r="A21" s="1" t="s">
        <v>42</v>
      </c>
      <c r="C21" s="1">
        <v>52015.435400000002</v>
      </c>
      <c r="D21" s="3"/>
      <c r="E21" s="1">
        <f t="shared" ref="E21:E27" si="0">+(C21-C$7)/C$8</f>
        <v>0</v>
      </c>
      <c r="F21" s="1">
        <f>ROUND(2*E21,0)/2</f>
        <v>0</v>
      </c>
      <c r="G21" s="1">
        <f t="shared" ref="G21:G27" si="1">+C21-(C$7+F21*C$8)</f>
        <v>0</v>
      </c>
      <c r="I21" s="1">
        <f t="shared" ref="I21:I27" si="2">+G21</f>
        <v>0</v>
      </c>
      <c r="O21" s="1">
        <f t="shared" ref="O21:O27" ca="1" si="3">+C$11+C$12*$F21</f>
        <v>5.2101961974528599E-3</v>
      </c>
      <c r="Q21" s="26">
        <f t="shared" ref="Q21:Q27" si="4">+C21-15018.5</f>
        <v>36996.935400000002</v>
      </c>
      <c r="R21" s="1">
        <f ca="1">+(O21-G21)^2</f>
        <v>2.714614441595224E-5</v>
      </c>
    </row>
    <row r="22" spans="1:18" x14ac:dyDescent="0.2">
      <c r="A22" s="27" t="s">
        <v>43</v>
      </c>
      <c r="B22" s="28"/>
      <c r="C22" s="9">
        <v>52309.406600000002</v>
      </c>
      <c r="D22" s="9">
        <v>5.0000000000000001E-4</v>
      </c>
      <c r="E22" s="1">
        <f t="shared" si="0"/>
        <v>662.94538959750298</v>
      </c>
      <c r="F22" s="1">
        <f>ROUND(2*E22,0)/2</f>
        <v>663</v>
      </c>
      <c r="G22" s="1">
        <f t="shared" si="1"/>
        <v>-2.4215999997977633E-2</v>
      </c>
      <c r="I22" s="1">
        <f t="shared" si="2"/>
        <v>-2.4215999997977633E-2</v>
      </c>
      <c r="O22" s="1">
        <f t="shared" ca="1" si="3"/>
        <v>-4.3303008668097838E-2</v>
      </c>
      <c r="Q22" s="26">
        <f t="shared" si="4"/>
        <v>37290.906600000002</v>
      </c>
      <c r="R22" s="1">
        <f t="shared" ref="R22:R27" ca="1" si="5">+(O22-G22)^2</f>
        <v>3.6431389997324388E-4</v>
      </c>
    </row>
    <row r="23" spans="1:18" x14ac:dyDescent="0.2">
      <c r="A23" s="70" t="s">
        <v>44</v>
      </c>
      <c r="B23" s="71" t="s">
        <v>45</v>
      </c>
      <c r="C23" s="72">
        <v>53118.693899999998</v>
      </c>
      <c r="D23" s="70">
        <v>2.0000000000000001E-4</v>
      </c>
      <c r="E23" s="1">
        <f t="shared" si="0"/>
        <v>2487.9992873766355</v>
      </c>
      <c r="F23" s="1">
        <f>ROUND(2*E23,0)/2+0.5</f>
        <v>2488.5</v>
      </c>
      <c r="G23" s="1">
        <f t="shared" si="1"/>
        <v>-0.22203200000512879</v>
      </c>
      <c r="I23" s="1">
        <f t="shared" si="2"/>
        <v>-0.22203200000512879</v>
      </c>
      <c r="O23" s="1">
        <f t="shared" ca="1" si="3"/>
        <v>-0.17687895962143538</v>
      </c>
      <c r="Q23" s="26">
        <f t="shared" si="4"/>
        <v>38100.193899999998</v>
      </c>
      <c r="R23" s="1">
        <f t="shared" ca="1" si="5"/>
        <v>2.0387970558914483E-3</v>
      </c>
    </row>
    <row r="24" spans="1:18" x14ac:dyDescent="0.2">
      <c r="A24" s="73" t="s">
        <v>46</v>
      </c>
      <c r="B24" s="50" t="s">
        <v>47</v>
      </c>
      <c r="C24" s="74">
        <v>53410.700299999997</v>
      </c>
      <c r="D24" s="74">
        <v>8.9999999999999998E-4</v>
      </c>
      <c r="E24" s="1">
        <f t="shared" si="0"/>
        <v>3146.51378339857</v>
      </c>
      <c r="F24" s="1">
        <f>ROUND(2*E24,0)/2+0.5</f>
        <v>3147</v>
      </c>
      <c r="G24" s="1">
        <f t="shared" si="1"/>
        <v>-0.21560400000453228</v>
      </c>
      <c r="I24" s="1">
        <f t="shared" si="2"/>
        <v>-0.21560400000453228</v>
      </c>
      <c r="O24" s="1">
        <f t="shared" ca="1" si="3"/>
        <v>-0.22506288934083982</v>
      </c>
      <c r="Q24" s="26">
        <f t="shared" si="4"/>
        <v>38392.200299999997</v>
      </c>
      <c r="R24" s="1">
        <f t="shared" ca="1" si="5"/>
        <v>8.9470587476512406E-5</v>
      </c>
    </row>
    <row r="25" spans="1:18" x14ac:dyDescent="0.2">
      <c r="A25" s="73" t="s">
        <v>46</v>
      </c>
      <c r="B25" s="50" t="s">
        <v>45</v>
      </c>
      <c r="C25" s="74">
        <v>53411.805999999997</v>
      </c>
      <c r="D25" s="74">
        <v>6.9999999999999999E-4</v>
      </c>
      <c r="E25" s="1">
        <f t="shared" si="0"/>
        <v>3149.0072886034268</v>
      </c>
      <c r="F25" s="1">
        <f>ROUND(2*E25,0)/2+0.5</f>
        <v>3149.5</v>
      </c>
      <c r="G25" s="1">
        <f t="shared" si="1"/>
        <v>-0.21848400000453694</v>
      </c>
      <c r="I25" s="1">
        <f t="shared" si="2"/>
        <v>-0.21848400000453694</v>
      </c>
      <c r="O25" s="1">
        <f t="shared" ca="1" si="3"/>
        <v>-0.22524581997758775</v>
      </c>
      <c r="Q25" s="26">
        <f t="shared" si="4"/>
        <v>38393.305999999997</v>
      </c>
      <c r="R25" s="1">
        <f t="shared" ca="1" si="5"/>
        <v>4.5722209347948841E-5</v>
      </c>
    </row>
    <row r="26" spans="1:18" x14ac:dyDescent="0.2">
      <c r="A26" s="73" t="s">
        <v>46</v>
      </c>
      <c r="B26" s="50" t="s">
        <v>47</v>
      </c>
      <c r="C26" s="74">
        <v>53413.798199999997</v>
      </c>
      <c r="D26" s="74">
        <v>5.9999999999999995E-4</v>
      </c>
      <c r="E26" s="1">
        <f t="shared" si="0"/>
        <v>3153.499972938343</v>
      </c>
      <c r="F26" s="1">
        <f>ROUND(2*E26,0)/2+0.5</f>
        <v>3154</v>
      </c>
      <c r="G26" s="1">
        <f t="shared" si="1"/>
        <v>-0.22172800000407733</v>
      </c>
      <c r="I26" s="1">
        <f t="shared" si="2"/>
        <v>-0.22172800000407733</v>
      </c>
      <c r="O26" s="1">
        <f t="shared" ca="1" si="3"/>
        <v>-0.225575095123734</v>
      </c>
      <c r="Q26" s="26">
        <f t="shared" si="4"/>
        <v>38395.298199999997</v>
      </c>
      <c r="R26" s="1">
        <f t="shared" ca="1" si="5"/>
        <v>1.4800140859686154E-5</v>
      </c>
    </row>
    <row r="27" spans="1:18" x14ac:dyDescent="0.2">
      <c r="A27" s="73" t="s">
        <v>46</v>
      </c>
      <c r="B27" s="50" t="s">
        <v>45</v>
      </c>
      <c r="C27" s="74">
        <v>53459.693200000002</v>
      </c>
      <c r="D27" s="74">
        <v>1E-3</v>
      </c>
      <c r="E27" s="1">
        <f t="shared" si="0"/>
        <v>3256.9994948492654</v>
      </c>
      <c r="F27" s="1">
        <f>ROUND(2*E27,0)/2+0.5</f>
        <v>3257.5</v>
      </c>
      <c r="G27" s="1">
        <f t="shared" si="1"/>
        <v>-0.22194000000308733</v>
      </c>
      <c r="I27" s="1">
        <f t="shared" si="2"/>
        <v>-0.22194000000308733</v>
      </c>
      <c r="O27" s="1">
        <f t="shared" ca="1" si="3"/>
        <v>-0.23314842348509826</v>
      </c>
      <c r="Q27" s="26">
        <f t="shared" si="4"/>
        <v>38441.193200000002</v>
      </c>
      <c r="R27" s="1">
        <f t="shared" ca="1" si="5"/>
        <v>1.2562875695209394E-4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2023-01-24T05:48:49Z</dcterms:created>
  <dcterms:modified xsi:type="dcterms:W3CDTF">2023-01-24T05:49:18Z</dcterms:modified>
</cp:coreProperties>
</file>