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DDEE4392-F71D-4318-A076-716BFAB3C310}" xr6:coauthVersionLast="47" xr6:coauthVersionMax="47" xr10:uidLastSave="{00000000-0000-0000-0000-000000000000}"/>
  <bookViews>
    <workbookView xWindow="14355" yWindow="225" windowWidth="1332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2" i="1" l="1"/>
  <c r="Q30" i="1"/>
  <c r="Q31" i="1"/>
  <c r="G11" i="1"/>
  <c r="F11" i="1"/>
  <c r="E14" i="1"/>
  <c r="E15" i="1" s="1"/>
  <c r="C17" i="1"/>
  <c r="Q29" i="1"/>
  <c r="E27" i="1"/>
  <c r="F27" i="1"/>
  <c r="E21" i="1"/>
  <c r="F21" i="1"/>
  <c r="G21" i="1"/>
  <c r="H21" i="1" s="1"/>
  <c r="Q22" i="1"/>
  <c r="Q23" i="1"/>
  <c r="Q24" i="1"/>
  <c r="Q25" i="1"/>
  <c r="Q26" i="1"/>
  <c r="Q27" i="1"/>
  <c r="Q28" i="1"/>
  <c r="C8" i="1"/>
  <c r="C7" i="1"/>
  <c r="E32" i="1" s="1"/>
  <c r="F32" i="1" s="1"/>
  <c r="Q21" i="1"/>
  <c r="E24" i="1"/>
  <c r="F24" i="1"/>
  <c r="G24" i="1"/>
  <c r="J24" i="1" s="1"/>
  <c r="E31" i="1"/>
  <c r="F31" i="1" s="1"/>
  <c r="G31" i="1" s="1"/>
  <c r="K31" i="1" s="1"/>
  <c r="E26" i="1"/>
  <c r="F26" i="1"/>
  <c r="G26" i="1"/>
  <c r="I26" i="1" s="1"/>
  <c r="E23" i="1"/>
  <c r="F23" i="1" s="1"/>
  <c r="E29" i="1"/>
  <c r="F29" i="1"/>
  <c r="G29" i="1" s="1"/>
  <c r="J29" i="1" s="1"/>
  <c r="E28" i="1"/>
  <c r="F28" i="1" s="1"/>
  <c r="G28" i="1" s="1"/>
  <c r="I28" i="1" s="1"/>
  <c r="G27" i="1"/>
  <c r="I27" i="1" s="1"/>
  <c r="E25" i="1"/>
  <c r="F25" i="1" s="1"/>
  <c r="G25" i="1" s="1"/>
  <c r="I25" i="1" s="1"/>
  <c r="E30" i="1" l="1"/>
  <c r="F30" i="1" s="1"/>
  <c r="G30" i="1" s="1"/>
  <c r="E22" i="1"/>
  <c r="F22" i="1" s="1"/>
  <c r="G22" i="1" s="1"/>
  <c r="N22" i="1" s="1"/>
  <c r="G32" i="1"/>
  <c r="K32" i="1" s="1"/>
  <c r="C12" i="1"/>
  <c r="C11" i="1"/>
  <c r="O30" i="1" l="1"/>
  <c r="O29" i="1"/>
  <c r="C15" i="1"/>
  <c r="E16" i="1" s="1"/>
  <c r="O22" i="1"/>
  <c r="O23" i="1"/>
  <c r="O32" i="1"/>
  <c r="O25" i="1"/>
  <c r="O24" i="1"/>
  <c r="O21" i="1"/>
  <c r="O31" i="1"/>
  <c r="O27" i="1"/>
  <c r="O28" i="1"/>
  <c r="O26" i="1"/>
  <c r="C16" i="1"/>
  <c r="D18" i="1" s="1"/>
  <c r="K30" i="1"/>
  <c r="C18" i="1" l="1"/>
  <c r="E17" i="1"/>
</calcChain>
</file>

<file path=xl/sharedStrings.xml><?xml version="1.0" encoding="utf-8"?>
<sst xmlns="http://schemas.openxmlformats.org/spreadsheetml/2006/main" count="78" uniqueCount="60">
  <si>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</si>
  <si>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</si>
  <si>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</si>
  <si>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</si>
  <si>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</si>
  <si>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</si>
  <si>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</si>
  <si>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</si>
  <si>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</si>
  <si>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</si>
  <si>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</si>
  <si>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</si>
  <si>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</si>
  <si>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</si>
  <si>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</si>
  <si>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</si>
  <si>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</si>
  <si>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</si>
  <si>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</si>
  <si>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</si>
  <si>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</si>
  <si>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</si>
  <si>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</si>
  <si>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</si>
  <si>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</si>
  <si>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</si>
  <si>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</si>
  <si>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</si>
  <si>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phe</t>
  </si>
  <si>
    <t>A AP S 38,161</t>
  </si>
  <si>
    <t>K</t>
  </si>
  <si>
    <t>v</t>
  </si>
  <si>
    <t>ASTR. REP 4</t>
  </si>
  <si>
    <t>IBVS 1702</t>
  </si>
  <si>
    <t>Locher K</t>
  </si>
  <si>
    <t>BBSAG Bull.88</t>
  </si>
  <si>
    <t>B</t>
  </si>
  <si>
    <t>BBSAG Bull.98</t>
  </si>
  <si>
    <t>BBSAG Bull.101</t>
  </si>
  <si>
    <t>Locher Kurt</t>
  </si>
  <si>
    <t>BBSAG Bull.118</t>
  </si>
  <si>
    <t>BBSAG</t>
  </si>
  <si>
    <t>IBVS</t>
  </si>
  <si>
    <t># of data points:</t>
  </si>
  <si>
    <t>EA/SD</t>
  </si>
  <si>
    <t>XZ Sgr / GSC 06848-03322</t>
  </si>
  <si>
    <t>IBVS 5931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</si>
  <si>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</si>
  <si>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</si>
  <si>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</si>
  <si>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</si>
  <si>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</si>
  <si>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</si>
  <si>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</si>
  <si>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</si>
  <si>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</si>
  <si>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</si>
  <si>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OEJV 0130</t>
  </si>
  <si>
    <t>OEJV</t>
  </si>
  <si>
    <t>JAVSO 49, 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</si>
</sst>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14" fontId="11" fillId="0" borderId="0" xfId="0" applyNumberFormat="1" applyFont="1" applyAlignment="1"/>
    <xf numFmtId="0" fontId="9" fillId="0" borderId="0" xfId="0" applyFont="1" applyAlignment="1"/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8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Sgr - O-C Diagr.</a:t>
            </a:r>
          </a:p>
        </c:rich>
      </c:tx>
      <c:layout>
        <c:manualLayout>
          <c:xMode val="edge"/>
          <c:yMode val="edge"/>
          <c:x val="0.3719723183391003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78892733564014"/>
          <c:y val="0.14769252958613219"/>
          <c:w val="0.80449826989619377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</c:v>
                </c:pt>
                <c:pt idx="2">
                  <c:v>308</c:v>
                </c:pt>
                <c:pt idx="3">
                  <c:v>441</c:v>
                </c:pt>
                <c:pt idx="4">
                  <c:v>1658</c:v>
                </c:pt>
                <c:pt idx="5">
                  <c:v>1999</c:v>
                </c:pt>
                <c:pt idx="6">
                  <c:v>2108</c:v>
                </c:pt>
                <c:pt idx="7">
                  <c:v>2772</c:v>
                </c:pt>
                <c:pt idx="8">
                  <c:v>3752</c:v>
                </c:pt>
                <c:pt idx="9">
                  <c:v>4118</c:v>
                </c:pt>
                <c:pt idx="10">
                  <c:v>4122</c:v>
                </c:pt>
                <c:pt idx="11">
                  <c:v>5353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33-40EB-87E9-E358B6A0F6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</c:v>
                </c:pt>
                <c:pt idx="2">
                  <c:v>308</c:v>
                </c:pt>
                <c:pt idx="3">
                  <c:v>441</c:v>
                </c:pt>
                <c:pt idx="4">
                  <c:v>1658</c:v>
                </c:pt>
                <c:pt idx="5">
                  <c:v>1999</c:v>
                </c:pt>
                <c:pt idx="6">
                  <c:v>2108</c:v>
                </c:pt>
                <c:pt idx="7">
                  <c:v>2772</c:v>
                </c:pt>
                <c:pt idx="8">
                  <c:v>3752</c:v>
                </c:pt>
                <c:pt idx="9">
                  <c:v>4118</c:v>
                </c:pt>
                <c:pt idx="10">
                  <c:v>4122</c:v>
                </c:pt>
                <c:pt idx="11">
                  <c:v>5353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4">
                  <c:v>5.6709999997110572E-2</c:v>
                </c:pt>
                <c:pt idx="5">
                  <c:v>5.145500000071479E-2</c:v>
                </c:pt>
                <c:pt idx="6">
                  <c:v>4.8959999992803205E-2</c:v>
                </c:pt>
                <c:pt idx="7">
                  <c:v>4.2439999997441191E-2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33-40EB-87E9-E358B6A0F6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</c:v>
                </c:pt>
                <c:pt idx="2">
                  <c:v>308</c:v>
                </c:pt>
                <c:pt idx="3">
                  <c:v>441</c:v>
                </c:pt>
                <c:pt idx="4">
                  <c:v>1658</c:v>
                </c:pt>
                <c:pt idx="5">
                  <c:v>1999</c:v>
                </c:pt>
                <c:pt idx="6">
                  <c:v>2108</c:v>
                </c:pt>
                <c:pt idx="7">
                  <c:v>2772</c:v>
                </c:pt>
                <c:pt idx="8">
                  <c:v>3752</c:v>
                </c:pt>
                <c:pt idx="9">
                  <c:v>4118</c:v>
                </c:pt>
                <c:pt idx="10">
                  <c:v>4122</c:v>
                </c:pt>
                <c:pt idx="11">
                  <c:v>5353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3">
                  <c:v>1.7544999995152466E-2</c:v>
                </c:pt>
                <c:pt idx="8">
                  <c:v>2.0939999994880054E-2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33-40EB-87E9-E358B6A0F6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</c:v>
                </c:pt>
                <c:pt idx="2">
                  <c:v>308</c:v>
                </c:pt>
                <c:pt idx="3">
                  <c:v>441</c:v>
                </c:pt>
                <c:pt idx="4">
                  <c:v>1658</c:v>
                </c:pt>
                <c:pt idx="5">
                  <c:v>1999</c:v>
                </c:pt>
                <c:pt idx="6">
                  <c:v>2108</c:v>
                </c:pt>
                <c:pt idx="7">
                  <c:v>2772</c:v>
                </c:pt>
                <c:pt idx="8">
                  <c:v>3752</c:v>
                </c:pt>
                <c:pt idx="9">
                  <c:v>4118</c:v>
                </c:pt>
                <c:pt idx="10">
                  <c:v>4122</c:v>
                </c:pt>
                <c:pt idx="11">
                  <c:v>5353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9">
                  <c:v>1.7410000000381842E-2</c:v>
                </c:pt>
                <c:pt idx="10">
                  <c:v>1.7189999998663552E-2</c:v>
                </c:pt>
                <c:pt idx="11">
                  <c:v>3.8499999936902896E-4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33-40EB-87E9-E358B6A0F6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</c:v>
                </c:pt>
                <c:pt idx="2">
                  <c:v>308</c:v>
                </c:pt>
                <c:pt idx="3">
                  <c:v>441</c:v>
                </c:pt>
                <c:pt idx="4">
                  <c:v>1658</c:v>
                </c:pt>
                <c:pt idx="5">
                  <c:v>1999</c:v>
                </c:pt>
                <c:pt idx="6">
                  <c:v>2108</c:v>
                </c:pt>
                <c:pt idx="7">
                  <c:v>2772</c:v>
                </c:pt>
                <c:pt idx="8">
                  <c:v>3752</c:v>
                </c:pt>
                <c:pt idx="9">
                  <c:v>4118</c:v>
                </c:pt>
                <c:pt idx="10">
                  <c:v>4122</c:v>
                </c:pt>
                <c:pt idx="11">
                  <c:v>5353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33-40EB-87E9-E358B6A0F6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</c:v>
                </c:pt>
                <c:pt idx="2">
                  <c:v>308</c:v>
                </c:pt>
                <c:pt idx="3">
                  <c:v>441</c:v>
                </c:pt>
                <c:pt idx="4">
                  <c:v>1658</c:v>
                </c:pt>
                <c:pt idx="5">
                  <c:v>1999</c:v>
                </c:pt>
                <c:pt idx="6">
                  <c:v>2108</c:v>
                </c:pt>
                <c:pt idx="7">
                  <c:v>2772</c:v>
                </c:pt>
                <c:pt idx="8">
                  <c:v>3752</c:v>
                </c:pt>
                <c:pt idx="9">
                  <c:v>4118</c:v>
                </c:pt>
                <c:pt idx="10">
                  <c:v>4122</c:v>
                </c:pt>
                <c:pt idx="11">
                  <c:v>5353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33-40EB-87E9-E358B6A0F6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5">
                    <c:v>2E-3</c:v>
                  </c:pt>
                  <c:pt idx="6">
                    <c:v>5.0000000000000001E-3</c:v>
                  </c:pt>
                  <c:pt idx="7">
                    <c:v>6.0000000000000001E-3</c:v>
                  </c:pt>
                  <c:pt idx="8">
                    <c:v>4.0000000000000002E-4</c:v>
                  </c:pt>
                  <c:pt idx="9">
                    <c:v>8.0000000000000002E-3</c:v>
                  </c:pt>
                  <c:pt idx="10">
                    <c:v>5.0000000000000001E-3</c:v>
                  </c:pt>
                  <c:pt idx="1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</c:v>
                </c:pt>
                <c:pt idx="2">
                  <c:v>308</c:v>
                </c:pt>
                <c:pt idx="3">
                  <c:v>441</c:v>
                </c:pt>
                <c:pt idx="4">
                  <c:v>1658</c:v>
                </c:pt>
                <c:pt idx="5">
                  <c:v>1999</c:v>
                </c:pt>
                <c:pt idx="6">
                  <c:v>2108</c:v>
                </c:pt>
                <c:pt idx="7">
                  <c:v>2772</c:v>
                </c:pt>
                <c:pt idx="8">
                  <c:v>3752</c:v>
                </c:pt>
                <c:pt idx="9">
                  <c:v>4118</c:v>
                </c:pt>
                <c:pt idx="10">
                  <c:v>4122</c:v>
                </c:pt>
                <c:pt idx="11">
                  <c:v>5353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  <c:pt idx="1">
                  <c:v>9.9999961093999445E-6</c:v>
                </c:pt>
                <c:pt idx="2">
                  <c:v>-0.10203999999794178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33-40EB-87E9-E358B6A0F6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98</c:v>
                </c:pt>
                <c:pt idx="2">
                  <c:v>308</c:v>
                </c:pt>
                <c:pt idx="3">
                  <c:v>441</c:v>
                </c:pt>
                <c:pt idx="4">
                  <c:v>1658</c:v>
                </c:pt>
                <c:pt idx="5">
                  <c:v>1999</c:v>
                </c:pt>
                <c:pt idx="6">
                  <c:v>2108</c:v>
                </c:pt>
                <c:pt idx="7">
                  <c:v>2772</c:v>
                </c:pt>
                <c:pt idx="8">
                  <c:v>3752</c:v>
                </c:pt>
                <c:pt idx="9">
                  <c:v>4118</c:v>
                </c:pt>
                <c:pt idx="10">
                  <c:v>4122</c:v>
                </c:pt>
                <c:pt idx="11">
                  <c:v>5353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8.275829004848323E-2</c:v>
                </c:pt>
                <c:pt idx="1">
                  <c:v>8.1218823260760603E-2</c:v>
                </c:pt>
                <c:pt idx="2">
                  <c:v>7.7919965858497808E-2</c:v>
                </c:pt>
                <c:pt idx="3">
                  <c:v>7.5830689503731383E-2</c:v>
                </c:pt>
                <c:pt idx="4">
                  <c:v>5.6713025415379925E-2</c:v>
                </c:pt>
                <c:pt idx="5">
                  <c:v>5.1356309347896076E-2</c:v>
                </c:pt>
                <c:pt idx="6">
                  <c:v>4.9644045267673971E-2</c:v>
                </c:pt>
                <c:pt idx="7">
                  <c:v>3.9213372338614501E-2</c:v>
                </c:pt>
                <c:pt idx="8">
                  <c:v>2.3818704461388188E-2</c:v>
                </c:pt>
                <c:pt idx="9">
                  <c:v>1.8069267274587339E-2</c:v>
                </c:pt>
                <c:pt idx="10">
                  <c:v>1.8006431895496625E-2</c:v>
                </c:pt>
                <c:pt idx="11">
                  <c:v>-1.331156019672361E-3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33-40EB-87E9-E358B6A0F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2976"/>
        <c:axId val="1"/>
      </c:scatterChart>
      <c:valAx>
        <c:axId val="786442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68166089965396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0311418685120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2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67820069204153"/>
          <c:y val="0.92000129214617399"/>
          <c:w val="0.8408304498269896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14</xdr:col>
      <xdr:colOff>371475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7671C9D-78E1-C113-4DC5-C0E143BDD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64"/>
  <sheetViews>
    <sheetView tabSelected="1" workbookViewId="0">
      <selection activeCell="A33" sqref="A33:D3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</row>
    <row r="2" spans="1:7" x14ac:dyDescent="0.2">
      <c r="A2" t="s">
        <v>24</v>
      </c>
      <c r="B2" s="10" t="s">
        <v>44</v>
      </c>
    </row>
    <row r="3" spans="1:7" ht="13.5" thickBot="1" x14ac:dyDescent="0.25">
      <c r="C3" s="8"/>
    </row>
    <row r="4" spans="1:7" ht="14.25" thickTop="1" thickBot="1" x14ac:dyDescent="0.25">
      <c r="A4" s="5" t="s">
        <v>0</v>
      </c>
      <c r="C4" s="2">
        <v>41890.6201</v>
      </c>
      <c r="D4" s="3">
        <v>3.2755550000000002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41890.6201</v>
      </c>
    </row>
    <row r="8" spans="1:7" x14ac:dyDescent="0.2">
      <c r="A8" t="s">
        <v>3</v>
      </c>
      <c r="C8">
        <f>+D4</f>
        <v>3.2755550000000002</v>
      </c>
    </row>
    <row r="9" spans="1:7" x14ac:dyDescent="0.2">
      <c r="A9" s="15" t="s">
        <v>48</v>
      </c>
      <c r="B9" s="16"/>
      <c r="C9" s="17">
        <v>-9.5</v>
      </c>
      <c r="D9" s="16" t="s">
        <v>49</v>
      </c>
      <c r="E9" s="16"/>
    </row>
    <row r="10" spans="1:7" ht="13.5" thickBot="1" x14ac:dyDescent="0.25">
      <c r="A10" s="16"/>
      <c r="B10" s="16"/>
      <c r="C10" s="4" t="s">
        <v>20</v>
      </c>
      <c r="D10" s="4" t="s">
        <v>21</v>
      </c>
      <c r="E10" s="16"/>
    </row>
    <row r="11" spans="1:7" x14ac:dyDescent="0.2">
      <c r="A11" s="16" t="s">
        <v>16</v>
      </c>
      <c r="B11" s="16"/>
      <c r="C11" s="18">
        <f ca="1">INTERCEPT(INDIRECT($G$11):G992,INDIRECT($F$11):F992)</f>
        <v>8.275829004848323E-2</v>
      </c>
      <c r="D11" s="19"/>
      <c r="E11" s="16"/>
      <c r="F11" s="20" t="str">
        <f>"F"&amp;E19</f>
        <v>F25</v>
      </c>
      <c r="G11" s="8" t="str">
        <f>"G"&amp;E19</f>
        <v>G25</v>
      </c>
    </row>
    <row r="12" spans="1:7" x14ac:dyDescent="0.2">
      <c r="A12" s="16" t="s">
        <v>17</v>
      </c>
      <c r="B12" s="16"/>
      <c r="C12" s="18">
        <f ca="1">SLOPE(INDIRECT($G$11):G992,INDIRECT($F$11):F992)</f>
        <v>-1.5708844772679916E-5</v>
      </c>
      <c r="D12" s="19"/>
      <c r="E12" s="16"/>
    </row>
    <row r="13" spans="1:7" x14ac:dyDescent="0.2">
      <c r="A13" s="16" t="s">
        <v>19</v>
      </c>
      <c r="B13" s="16"/>
      <c r="C13" s="19" t="s">
        <v>14</v>
      </c>
      <c r="D13" s="23" t="s">
        <v>55</v>
      </c>
      <c r="E13" s="17">
        <v>1</v>
      </c>
    </row>
    <row r="14" spans="1:7" x14ac:dyDescent="0.2">
      <c r="A14" s="16"/>
      <c r="B14" s="16"/>
      <c r="C14" s="16"/>
      <c r="D14" s="23" t="s">
        <v>50</v>
      </c>
      <c r="E14" s="24">
        <f ca="1">NOW()+15018.5+$C$9/24</f>
        <v>59968.814394560184</v>
      </c>
    </row>
    <row r="15" spans="1:7" x14ac:dyDescent="0.2">
      <c r="A15" s="21" t="s">
        <v>18</v>
      </c>
      <c r="B15" s="16"/>
      <c r="C15" s="22">
        <f ca="1">(C7+C11)+(C8+C12)*INT(MAX(F21:F3533))</f>
        <v>59424.664683843977</v>
      </c>
      <c r="D15" s="23" t="s">
        <v>56</v>
      </c>
      <c r="E15" s="24">
        <f ca="1">ROUND(2*(E14-$C$7)/$C$8,0)/2+E13</f>
        <v>5520</v>
      </c>
    </row>
    <row r="16" spans="1:7" x14ac:dyDescent="0.2">
      <c r="A16" s="25" t="s">
        <v>4</v>
      </c>
      <c r="B16" s="16"/>
      <c r="C16" s="26">
        <f ca="1">+C8+C12</f>
        <v>3.2755392911552277</v>
      </c>
      <c r="D16" s="23" t="s">
        <v>51</v>
      </c>
      <c r="E16" s="8">
        <f ca="1">ROUND(2*(E14-$C$15)/$C$16,0)/2+E13</f>
        <v>167</v>
      </c>
    </row>
    <row r="17" spans="1:33" ht="13.5" thickBot="1" x14ac:dyDescent="0.25">
      <c r="A17" s="23" t="s">
        <v>43</v>
      </c>
      <c r="B17" s="16"/>
      <c r="C17" s="16">
        <f>COUNT(C21:C2191)</f>
        <v>12</v>
      </c>
      <c r="D17" s="23" t="s">
        <v>52</v>
      </c>
      <c r="E17" s="27">
        <f ca="1">+$C$15+$C$16*E16-15018.5-$C$9/24</f>
        <v>44953.575578800235</v>
      </c>
    </row>
    <row r="18" spans="1:33" ht="14.25" thickTop="1" thickBot="1" x14ac:dyDescent="0.25">
      <c r="A18" s="25" t="s">
        <v>5</v>
      </c>
      <c r="B18" s="16"/>
      <c r="C18" s="28">
        <f ca="1">+C15</f>
        <v>59424.664683843977</v>
      </c>
      <c r="D18" s="29">
        <f ca="1">+C16</f>
        <v>3.2755392911552277</v>
      </c>
      <c r="E18" s="30" t="s">
        <v>53</v>
      </c>
    </row>
    <row r="19" spans="1:33" ht="13.5" thickTop="1" x14ac:dyDescent="0.2">
      <c r="A19" s="31" t="s">
        <v>54</v>
      </c>
      <c r="E19" s="32">
        <v>25</v>
      </c>
    </row>
    <row r="20" spans="1:33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41</v>
      </c>
      <c r="J20" s="7" t="s">
        <v>42</v>
      </c>
      <c r="K20" s="7" t="s">
        <v>58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33" s="11" customFormat="1" x14ac:dyDescent="0.2">
      <c r="A21" s="11" t="s">
        <v>12</v>
      </c>
      <c r="C21" s="12">
        <v>41890.6201</v>
      </c>
      <c r="D21" s="12" t="s">
        <v>14</v>
      </c>
      <c r="E21" s="11">
        <f t="shared" ref="E21:E28" si="0">+(C21-C$7)/C$8</f>
        <v>0</v>
      </c>
      <c r="F21" s="11">
        <f t="shared" ref="F21:F31" si="1">ROUND(2*E21,0)/2</f>
        <v>0</v>
      </c>
      <c r="G21" s="11">
        <f>+C21-(C$7+F21*C$8)</f>
        <v>0</v>
      </c>
      <c r="H21" s="11">
        <f>+G21</f>
        <v>0</v>
      </c>
      <c r="O21" s="11">
        <f t="shared" ref="O21:O28" ca="1" si="2">+C$11+C$12*$F21</f>
        <v>8.275829004848323E-2</v>
      </c>
      <c r="Q21" s="13">
        <f t="shared" ref="Q21:Q28" si="3">+C21-15018.5</f>
        <v>26872.1201</v>
      </c>
    </row>
    <row r="22" spans="1:33" s="11" customFormat="1" x14ac:dyDescent="0.2">
      <c r="A22" s="11" t="s">
        <v>29</v>
      </c>
      <c r="C22" s="12">
        <v>42211.624499999998</v>
      </c>
      <c r="D22" s="12"/>
      <c r="E22" s="11">
        <f t="shared" si="0"/>
        <v>98.000003052917123</v>
      </c>
      <c r="F22" s="11">
        <f t="shared" si="1"/>
        <v>98</v>
      </c>
      <c r="G22" s="11">
        <f>+C22-(C$7+F22*C$8)</f>
        <v>9.9999961093999445E-6</v>
      </c>
      <c r="N22" s="11">
        <f>+G22</f>
        <v>9.9999961093999445E-6</v>
      </c>
      <c r="O22" s="11">
        <f t="shared" ca="1" si="2"/>
        <v>8.1218823260760603E-2</v>
      </c>
      <c r="Q22" s="13">
        <f t="shared" si="3"/>
        <v>27193.124499999998</v>
      </c>
      <c r="AB22" s="11" t="s">
        <v>28</v>
      </c>
      <c r="AG22" s="11" t="s">
        <v>30</v>
      </c>
    </row>
    <row r="23" spans="1:33" s="11" customFormat="1" x14ac:dyDescent="0.2">
      <c r="A23" s="11" t="s">
        <v>32</v>
      </c>
      <c r="C23" s="12">
        <v>42899.389000000003</v>
      </c>
      <c r="D23" s="12"/>
      <c r="E23" s="11">
        <f t="shared" si="0"/>
        <v>307.96884802728169</v>
      </c>
      <c r="F23" s="11">
        <f t="shared" si="1"/>
        <v>308</v>
      </c>
      <c r="N23" s="14">
        <v>-0.10203999999794178</v>
      </c>
      <c r="O23" s="11">
        <f t="shared" ca="1" si="2"/>
        <v>7.7919965858497808E-2</v>
      </c>
      <c r="Q23" s="13">
        <f t="shared" si="3"/>
        <v>27880.889000000003</v>
      </c>
      <c r="AB23" s="11" t="s">
        <v>31</v>
      </c>
      <c r="AG23" s="11" t="s">
        <v>30</v>
      </c>
    </row>
    <row r="24" spans="1:33" s="11" customFormat="1" x14ac:dyDescent="0.2">
      <c r="A24" s="11" t="s">
        <v>33</v>
      </c>
      <c r="C24" s="12">
        <v>43335.157399999996</v>
      </c>
      <c r="D24" s="12"/>
      <c r="E24" s="11">
        <f t="shared" si="0"/>
        <v>441.00535634419089</v>
      </c>
      <c r="F24" s="11">
        <f t="shared" si="1"/>
        <v>441</v>
      </c>
      <c r="G24" s="11">
        <f t="shared" ref="G24:G29" si="4">+C24-(C$7+F24*C$8)</f>
        <v>1.7544999995152466E-2</v>
      </c>
      <c r="J24" s="11">
        <f>+G24</f>
        <v>1.7544999995152466E-2</v>
      </c>
      <c r="O24" s="11">
        <f t="shared" ca="1" si="2"/>
        <v>7.5830689503731383E-2</v>
      </c>
      <c r="Q24" s="13">
        <f t="shared" si="3"/>
        <v>28316.657399999996</v>
      </c>
      <c r="AB24" s="11" t="s">
        <v>28</v>
      </c>
      <c r="AG24" s="11" t="s">
        <v>30</v>
      </c>
    </row>
    <row r="25" spans="1:33" s="11" customFormat="1" x14ac:dyDescent="0.2">
      <c r="A25" s="11" t="s">
        <v>35</v>
      </c>
      <c r="C25" s="12">
        <v>47321.546999999999</v>
      </c>
      <c r="D25" s="12"/>
      <c r="E25" s="11">
        <f t="shared" si="0"/>
        <v>1658.0173130965586</v>
      </c>
      <c r="F25" s="11">
        <f t="shared" si="1"/>
        <v>1658</v>
      </c>
      <c r="G25" s="11">
        <f t="shared" si="4"/>
        <v>5.6709999997110572E-2</v>
      </c>
      <c r="I25" s="11">
        <f>+G25</f>
        <v>5.6709999997110572E-2</v>
      </c>
      <c r="O25" s="11">
        <f t="shared" ca="1" si="2"/>
        <v>5.6713025415379925E-2</v>
      </c>
      <c r="Q25" s="13">
        <f t="shared" si="3"/>
        <v>32303.046999999999</v>
      </c>
      <c r="AB25" s="11" t="s">
        <v>31</v>
      </c>
      <c r="AC25" s="11">
        <v>7</v>
      </c>
      <c r="AE25" s="11" t="s">
        <v>34</v>
      </c>
      <c r="AG25" s="11" t="s">
        <v>36</v>
      </c>
    </row>
    <row r="26" spans="1:33" s="11" customFormat="1" x14ac:dyDescent="0.2">
      <c r="A26" s="11" t="s">
        <v>37</v>
      </c>
      <c r="C26" s="12">
        <v>48438.506000000001</v>
      </c>
      <c r="D26" s="12">
        <v>2E-3</v>
      </c>
      <c r="E26" s="11">
        <f t="shared" si="0"/>
        <v>1999.0157087882819</v>
      </c>
      <c r="F26" s="11">
        <f t="shared" si="1"/>
        <v>1999</v>
      </c>
      <c r="G26" s="11">
        <f t="shared" si="4"/>
        <v>5.145500000071479E-2</v>
      </c>
      <c r="I26" s="11">
        <f>+G26</f>
        <v>5.145500000071479E-2</v>
      </c>
      <c r="O26" s="11">
        <f t="shared" ca="1" si="2"/>
        <v>5.1356309347896076E-2</v>
      </c>
      <c r="Q26" s="13">
        <f t="shared" si="3"/>
        <v>33420.006000000001</v>
      </c>
      <c r="AB26" s="11" t="s">
        <v>31</v>
      </c>
      <c r="AC26" s="11">
        <v>14</v>
      </c>
      <c r="AE26" s="11" t="s">
        <v>34</v>
      </c>
      <c r="AG26" s="11" t="s">
        <v>36</v>
      </c>
    </row>
    <row r="27" spans="1:33" s="11" customFormat="1" x14ac:dyDescent="0.2">
      <c r="A27" s="11" t="s">
        <v>38</v>
      </c>
      <c r="C27" s="12">
        <v>48795.538999999997</v>
      </c>
      <c r="D27" s="12">
        <v>5.0000000000000001E-3</v>
      </c>
      <c r="E27" s="11">
        <f t="shared" si="0"/>
        <v>2108.0149470853021</v>
      </c>
      <c r="F27" s="11">
        <f t="shared" si="1"/>
        <v>2108</v>
      </c>
      <c r="G27" s="11">
        <f t="shared" si="4"/>
        <v>4.8959999992803205E-2</v>
      </c>
      <c r="I27" s="11">
        <f>+G27</f>
        <v>4.8959999992803205E-2</v>
      </c>
      <c r="O27" s="11">
        <f t="shared" ca="1" si="2"/>
        <v>4.9644045267673971E-2</v>
      </c>
      <c r="Q27" s="13">
        <f t="shared" si="3"/>
        <v>33777.038999999997</v>
      </c>
      <c r="AB27" s="11" t="s">
        <v>31</v>
      </c>
      <c r="AC27" s="11">
        <v>7</v>
      </c>
      <c r="AE27" s="11" t="s">
        <v>34</v>
      </c>
      <c r="AG27" s="11" t="s">
        <v>36</v>
      </c>
    </row>
    <row r="28" spans="1:33" s="11" customFormat="1" x14ac:dyDescent="0.2">
      <c r="A28" s="11" t="s">
        <v>40</v>
      </c>
      <c r="C28" s="12">
        <v>50970.500999999997</v>
      </c>
      <c r="D28" s="12">
        <v>6.0000000000000001E-3</v>
      </c>
      <c r="E28" s="11">
        <f t="shared" si="0"/>
        <v>2772.0129565829288</v>
      </c>
      <c r="F28" s="11">
        <f t="shared" si="1"/>
        <v>2772</v>
      </c>
      <c r="G28" s="11">
        <f t="shared" si="4"/>
        <v>4.2439999997441191E-2</v>
      </c>
      <c r="I28" s="11">
        <f>+G28</f>
        <v>4.2439999997441191E-2</v>
      </c>
      <c r="O28" s="11">
        <f t="shared" ca="1" si="2"/>
        <v>3.9213372338614501E-2</v>
      </c>
      <c r="Q28" s="13">
        <f t="shared" si="3"/>
        <v>35952.000999999997</v>
      </c>
      <c r="AB28" s="11" t="s">
        <v>31</v>
      </c>
      <c r="AC28" s="11">
        <v>6</v>
      </c>
      <c r="AE28" s="11" t="s">
        <v>39</v>
      </c>
      <c r="AG28" s="11" t="s">
        <v>36</v>
      </c>
    </row>
    <row r="29" spans="1:33" s="11" customFormat="1" x14ac:dyDescent="0.2">
      <c r="A29" s="33" t="s">
        <v>46</v>
      </c>
      <c r="B29" s="34" t="s">
        <v>47</v>
      </c>
      <c r="C29" s="33">
        <v>54180.523399999998</v>
      </c>
      <c r="D29" s="33">
        <v>4.0000000000000002E-4</v>
      </c>
      <c r="E29" s="11">
        <f>+(C29-C$7)/C$8</f>
        <v>3752.0063928097675</v>
      </c>
      <c r="F29" s="11">
        <f t="shared" si="1"/>
        <v>3752</v>
      </c>
      <c r="G29" s="11">
        <f t="shared" si="4"/>
        <v>2.0939999994880054E-2</v>
      </c>
      <c r="J29" s="11">
        <f>+G29</f>
        <v>2.0939999994880054E-2</v>
      </c>
      <c r="O29" s="11">
        <f ca="1">+C$11+C$12*$F29</f>
        <v>2.3818704461388188E-2</v>
      </c>
      <c r="Q29" s="13">
        <f>+C29-15018.5</f>
        <v>39162.023399999998</v>
      </c>
    </row>
    <row r="30" spans="1:33" x14ac:dyDescent="0.2">
      <c r="A30" s="35" t="s">
        <v>57</v>
      </c>
      <c r="B30" s="36" t="s">
        <v>47</v>
      </c>
      <c r="C30" s="37">
        <v>55379.373</v>
      </c>
      <c r="D30" s="37">
        <v>8.0000000000000002E-3</v>
      </c>
      <c r="E30" s="11">
        <f>+(C30-C$7)/C$8</f>
        <v>4118.0053151298016</v>
      </c>
      <c r="F30" s="11">
        <f t="shared" si="1"/>
        <v>4118</v>
      </c>
      <c r="G30" s="11">
        <f>+C30-(C$7+F30*C$8)</f>
        <v>1.7410000000381842E-2</v>
      </c>
      <c r="H30" s="11"/>
      <c r="I30" s="11"/>
      <c r="K30" s="11">
        <f>+G30</f>
        <v>1.7410000000381842E-2</v>
      </c>
      <c r="L30" s="11"/>
      <c r="M30" s="11"/>
      <c r="N30" s="11"/>
      <c r="O30" s="11">
        <f ca="1">+C$11+C$12*$F30</f>
        <v>1.8069267274587339E-2</v>
      </c>
      <c r="P30" s="11"/>
      <c r="Q30" s="13">
        <f>+C30-15018.5</f>
        <v>40360.873</v>
      </c>
    </row>
    <row r="31" spans="1:33" x14ac:dyDescent="0.2">
      <c r="A31" s="35" t="s">
        <v>57</v>
      </c>
      <c r="B31" s="36" t="s">
        <v>47</v>
      </c>
      <c r="C31" s="37">
        <v>55392.474999999999</v>
      </c>
      <c r="D31" s="37">
        <v>5.0000000000000001E-3</v>
      </c>
      <c r="E31" s="11">
        <f>+(C31-C$7)/C$8</f>
        <v>4122.0052479656115</v>
      </c>
      <c r="F31" s="11">
        <f t="shared" si="1"/>
        <v>4122</v>
      </c>
      <c r="G31" s="11">
        <f>+C31-(C$7+F31*C$8)</f>
        <v>1.7189999998663552E-2</v>
      </c>
      <c r="H31" s="11"/>
      <c r="I31" s="11"/>
      <c r="K31" s="11">
        <f>+G31</f>
        <v>1.7189999998663552E-2</v>
      </c>
      <c r="L31" s="11"/>
      <c r="M31" s="11"/>
      <c r="N31" s="11"/>
      <c r="O31" s="11">
        <f ca="1">+C$11+C$12*$F31</f>
        <v>1.8006431895496625E-2</v>
      </c>
      <c r="P31" s="11"/>
      <c r="Q31" s="13">
        <f>+C31-15018.5</f>
        <v>40373.974999999999</v>
      </c>
    </row>
    <row r="32" spans="1:33" x14ac:dyDescent="0.2">
      <c r="A32" s="38" t="s">
        <v>59</v>
      </c>
      <c r="B32" s="36" t="s">
        <v>47</v>
      </c>
      <c r="C32" s="37">
        <v>59424.666400000002</v>
      </c>
      <c r="D32" s="37">
        <v>8.9999999999999998E-4</v>
      </c>
      <c r="E32" s="11">
        <f>+(C32-C$7)/C$8</f>
        <v>5353.0001175373336</v>
      </c>
      <c r="F32" s="11">
        <f>ROUND(2*E32,0)/2</f>
        <v>5353</v>
      </c>
      <c r="G32" s="11">
        <f>+C32-(C$7+F32*C$8)</f>
        <v>3.8499999936902896E-4</v>
      </c>
      <c r="H32" s="11"/>
      <c r="I32" s="11"/>
      <c r="K32" s="11">
        <f>+G32</f>
        <v>3.8499999936902896E-4</v>
      </c>
      <c r="L32" s="11"/>
      <c r="M32" s="11"/>
      <c r="N32" s="11"/>
      <c r="O32" s="11">
        <f ca="1">+C$11+C$12*$F32</f>
        <v>-1.331156019672361E-3</v>
      </c>
      <c r="P32" s="11"/>
      <c r="Q32" s="13">
        <f>+C32-15018.5</f>
        <v>44406.166400000002</v>
      </c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2023-01-24T06:32:43Z</dcterms:modified>
</cp:coreProperties>
</file>