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A2FADC9-94D4-44B8-A8D0-DA74E57E09E9}" xr6:coauthVersionLast="47" xr6:coauthVersionMax="47" xr10:uidLastSave="{00000000-0000-0000-0000-000000000000}"/>
  <bookViews>
    <workbookView xWindow="14940" yWindow="900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K66" i="1" s="1"/>
  <c r="Q66" i="1"/>
  <c r="Q65" i="1"/>
  <c r="C7" i="1"/>
  <c r="E65" i="1"/>
  <c r="F65" i="1"/>
  <c r="C8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25" i="1"/>
  <c r="F25" i="1"/>
  <c r="G25" i="1"/>
  <c r="I25" i="1"/>
  <c r="E62" i="1"/>
  <c r="F62" i="1"/>
  <c r="G62" i="1"/>
  <c r="K62" i="1"/>
  <c r="E63" i="1"/>
  <c r="F63" i="1"/>
  <c r="G63" i="1"/>
  <c r="K63" i="1"/>
  <c r="E64" i="1"/>
  <c r="F64" i="1"/>
  <c r="G64" i="1"/>
  <c r="K64" i="1"/>
  <c r="D9" i="1"/>
  <c r="C9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E50" i="1"/>
  <c r="F50" i="1"/>
  <c r="G50" i="1"/>
  <c r="E51" i="1"/>
  <c r="F51" i="1"/>
  <c r="G51" i="1"/>
  <c r="K51" i="1"/>
  <c r="E52" i="1"/>
  <c r="F52" i="1"/>
  <c r="G52" i="1"/>
  <c r="K52" i="1"/>
  <c r="E53" i="1"/>
  <c r="F53" i="1"/>
  <c r="G53" i="1"/>
  <c r="K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E58" i="1"/>
  <c r="F58" i="1"/>
  <c r="G58" i="1"/>
  <c r="E59" i="1"/>
  <c r="F59" i="1"/>
  <c r="G59" i="1"/>
  <c r="K59" i="1"/>
  <c r="E60" i="1"/>
  <c r="F60" i="1"/>
  <c r="G60" i="1"/>
  <c r="K60" i="1"/>
  <c r="E61" i="1"/>
  <c r="F61" i="1"/>
  <c r="G61" i="1"/>
  <c r="K61" i="1"/>
  <c r="Q62" i="1"/>
  <c r="Q63" i="1"/>
  <c r="Q64" i="1"/>
  <c r="E31" i="1"/>
  <c r="F31" i="1"/>
  <c r="G31" i="1"/>
  <c r="J31" i="1"/>
  <c r="E34" i="1"/>
  <c r="F34" i="1"/>
  <c r="G34" i="1"/>
  <c r="E35" i="1"/>
  <c r="F35" i="1"/>
  <c r="G35" i="1"/>
  <c r="I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K39" i="1"/>
  <c r="E40" i="1"/>
  <c r="F40" i="1"/>
  <c r="G40" i="1"/>
  <c r="K40" i="1"/>
  <c r="E41" i="1"/>
  <c r="F41" i="1"/>
  <c r="G41" i="1"/>
  <c r="E42" i="1"/>
  <c r="F42" i="1"/>
  <c r="G42" i="1"/>
  <c r="E43" i="1"/>
  <c r="F43" i="1"/>
  <c r="G43" i="1"/>
  <c r="K43" i="1"/>
  <c r="E21" i="1"/>
  <c r="F21" i="1"/>
  <c r="E22" i="1"/>
  <c r="F22" i="1"/>
  <c r="E23" i="1"/>
  <c r="F23" i="1"/>
  <c r="E24" i="1"/>
  <c r="F24" i="1"/>
  <c r="E32" i="1"/>
  <c r="F32" i="1"/>
  <c r="E33" i="1"/>
  <c r="F33" i="1"/>
  <c r="Q31" i="1"/>
  <c r="Q44" i="1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46" i="2"/>
  <c r="C46" i="2"/>
  <c r="E46" i="2"/>
  <c r="G32" i="2"/>
  <c r="C32" i="2"/>
  <c r="E32" i="2"/>
  <c r="G45" i="2"/>
  <c r="C45" i="2"/>
  <c r="E45" i="2"/>
  <c r="G44" i="2"/>
  <c r="C44" i="2"/>
  <c r="E44" i="2"/>
  <c r="G31" i="2"/>
  <c r="C31" i="2"/>
  <c r="E31" i="2"/>
  <c r="G30" i="2"/>
  <c r="C30" i="2"/>
  <c r="E30" i="2"/>
  <c r="G43" i="2"/>
  <c r="C43" i="2"/>
  <c r="E43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42" i="2"/>
  <c r="C42" i="2"/>
  <c r="E42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46" i="2"/>
  <c r="B46" i="2"/>
  <c r="D46" i="2"/>
  <c r="A46" i="2"/>
  <c r="H32" i="2"/>
  <c r="D32" i="2"/>
  <c r="B32" i="2"/>
  <c r="A32" i="2"/>
  <c r="H45" i="2"/>
  <c r="B45" i="2"/>
  <c r="D45" i="2"/>
  <c r="A45" i="2"/>
  <c r="H44" i="2"/>
  <c r="D44" i="2"/>
  <c r="B44" i="2"/>
  <c r="A44" i="2"/>
  <c r="H31" i="2"/>
  <c r="B31" i="2"/>
  <c r="D31" i="2"/>
  <c r="A31" i="2"/>
  <c r="H30" i="2"/>
  <c r="D30" i="2"/>
  <c r="B30" i="2"/>
  <c r="A30" i="2"/>
  <c r="H43" i="2"/>
  <c r="B43" i="2"/>
  <c r="D43" i="2"/>
  <c r="A43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42" i="2"/>
  <c r="B42" i="2"/>
  <c r="D42" i="2"/>
  <c r="A42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52" i="1"/>
  <c r="Q60" i="1"/>
  <c r="Q61" i="1"/>
  <c r="Q59" i="1"/>
  <c r="Q58" i="1"/>
  <c r="K58" i="1"/>
  <c r="Q57" i="1"/>
  <c r="K57" i="1"/>
  <c r="Q56" i="1"/>
  <c r="Q55" i="1"/>
  <c r="Q54" i="1"/>
  <c r="Q53" i="1"/>
  <c r="Q49" i="1"/>
  <c r="K49" i="1"/>
  <c r="Q51" i="1"/>
  <c r="Q47" i="1"/>
  <c r="Q48" i="1"/>
  <c r="K50" i="1"/>
  <c r="Q50" i="1"/>
  <c r="F16" i="1"/>
  <c r="F17" i="1" s="1"/>
  <c r="C17" i="1"/>
  <c r="Q46" i="1"/>
  <c r="Q45" i="1"/>
  <c r="Q43" i="1"/>
  <c r="Q21" i="1"/>
  <c r="Q22" i="1"/>
  <c r="Q23" i="1"/>
  <c r="Q24" i="1"/>
  <c r="Q25" i="1"/>
  <c r="Q26" i="1"/>
  <c r="Q27" i="1"/>
  <c r="Q28" i="1"/>
  <c r="Q29" i="1"/>
  <c r="Q30" i="1"/>
  <c r="Q32" i="1"/>
  <c r="Q33" i="1"/>
  <c r="J34" i="1"/>
  <c r="Q34" i="1"/>
  <c r="Q35" i="1"/>
  <c r="Q36" i="1"/>
  <c r="Q37" i="1"/>
  <c r="Q38" i="1"/>
  <c r="Q39" i="1"/>
  <c r="Q40" i="1"/>
  <c r="J41" i="1"/>
  <c r="Q41" i="1"/>
  <c r="J42" i="1"/>
  <c r="Q42" i="1"/>
  <c r="G65" i="1"/>
  <c r="K65" i="1"/>
  <c r="C11" i="1"/>
  <c r="C12" i="1"/>
  <c r="O66" i="1" l="1"/>
  <c r="C16" i="1"/>
  <c r="D18" i="1" s="1"/>
  <c r="O48" i="1"/>
  <c r="O43" i="1"/>
  <c r="O39" i="1"/>
  <c r="O34" i="1"/>
  <c r="O55" i="1"/>
  <c r="O38" i="1"/>
  <c r="O49" i="1"/>
  <c r="O65" i="1"/>
  <c r="O40" i="1"/>
  <c r="O52" i="1"/>
  <c r="O44" i="1"/>
  <c r="O50" i="1"/>
  <c r="C15" i="1"/>
  <c r="O42" i="1"/>
  <c r="O46" i="1"/>
  <c r="O54" i="1"/>
  <c r="O59" i="1"/>
  <c r="O53" i="1"/>
  <c r="O31" i="1"/>
  <c r="O63" i="1"/>
  <c r="O35" i="1"/>
  <c r="O37" i="1"/>
  <c r="O51" i="1"/>
  <c r="O58" i="1"/>
  <c r="O41" i="1"/>
  <c r="O64" i="1"/>
  <c r="O62" i="1"/>
  <c r="O45" i="1"/>
  <c r="O61" i="1"/>
  <c r="O36" i="1"/>
  <c r="O57" i="1"/>
  <c r="O56" i="1"/>
  <c r="O60" i="1"/>
  <c r="O47" i="1"/>
  <c r="C18" i="1" l="1"/>
  <c r="F18" i="1"/>
  <c r="F19" i="1" s="1"/>
</calcChain>
</file>

<file path=xl/sharedStrings.xml><?xml version="1.0" encoding="utf-8"?>
<sst xmlns="http://schemas.openxmlformats.org/spreadsheetml/2006/main" count="439" uniqueCount="236">
  <si>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</si>
  <si>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</si>
  <si>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</si>
  <si>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</si>
  <si>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</si>
  <si>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</si>
  <si>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</si>
  <si>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</si>
  <si>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</si>
  <si>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</si>
  <si>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</si>
  <si>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</si>
  <si>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</si>
  <si>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</si>
  <si>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</si>
  <si>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</si>
  <si>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</si>
  <si>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</si>
  <si>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</si>
  <si>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</si>
  <si>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</si>
  <si>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</si>
  <si>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</si>
  <si>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</si>
  <si>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</si>
  <si>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</si>
  <si>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</si>
  <si>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</si>
  <si>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Bull.32</t>
  </si>
  <si>
    <t>B</t>
  </si>
  <si>
    <t>v</t>
  </si>
  <si>
    <t>Germann R</t>
  </si>
  <si>
    <t>BBSAG Bull.76</t>
  </si>
  <si>
    <t>Peter H</t>
  </si>
  <si>
    <t>BBSAG Bull.91</t>
  </si>
  <si>
    <t>BRNO 30</t>
  </si>
  <si>
    <t>K</t>
  </si>
  <si>
    <t>BRNO 31</t>
  </si>
  <si>
    <t>BBSAG Bull.111</t>
  </si>
  <si>
    <t>BBSAG Bull.114</t>
  </si>
  <si>
    <t>ccd</t>
  </si>
  <si>
    <t>BBSAG Bull.117</t>
  </si>
  <si>
    <t>J.-P.Verrot</t>
  </si>
  <si>
    <t>BBSAG 120</t>
  </si>
  <si>
    <t>bad?</t>
  </si>
  <si>
    <t>Krajci, priv.comm</t>
  </si>
  <si>
    <t>ROTSE</t>
  </si>
  <si>
    <t>I</t>
  </si>
  <si>
    <t>J.Safar BRNO 32</t>
  </si>
  <si>
    <t>EA/SD:</t>
  </si>
  <si>
    <t># of data points:</t>
  </si>
  <si>
    <t>GQ Tau / GSC 01865-01967</t>
  </si>
  <si>
    <t>IBVS 5690</t>
  </si>
  <si>
    <t>IBVS 5731</t>
  </si>
  <si>
    <t>IBVS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</si>
  <si>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</si>
  <si>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</si>
  <si>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</si>
  <si>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</si>
  <si>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</si>
  <si>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</si>
  <si>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</si>
  <si>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</si>
  <si>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IBVS 5894</t>
  </si>
  <si>
    <t>IBVS 5875</t>
  </si>
  <si>
    <t>Add cycle</t>
  </si>
  <si>
    <t>Old Cycle</t>
  </si>
  <si>
    <t>OEJV 0137</t>
  </si>
  <si>
    <t>IBVS 5992</t>
  </si>
  <si>
    <t>IBVS 5997</t>
  </si>
  <si>
    <t>OEJV 0160</t>
  </si>
  <si>
    <t>II</t>
  </si>
  <si>
    <t>OEJV 0165</t>
  </si>
  <si>
    <t>OEJV 0168</t>
  </si>
  <si>
    <t>Something weird has happened here!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</si>
  <si>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</si>
  <si>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</si>
  <si>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</si>
  <si>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</si>
  <si>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</si>
  <si>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</si>
  <si>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</si>
  <si>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</si>
  <si>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</si>
  <si>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</si>
  <si>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</si>
  <si>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</si>
  <si>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2436493.516 </t>
  </si>
  <si>
    <t> 17.10.1958 00:23 </t>
  </si>
  <si>
    <t> 0.000 </t>
  </si>
  <si>
    <t> W.Zessewitsch </t>
  </si>
  <si>
    <t> GCVS 1985 </t>
  </si>
  <si>
    <t>2443161.289 </t>
  </si>
  <si>
    <t> 17.01.1977 18:56 </t>
  </si>
  <si>
    <t> -0.010 </t>
  </si>
  <si>
    <t>V </t>
  </si>
  <si>
    <t> R.Diethelm </t>
  </si>
  <si>
    <t> BBS 32/117 </t>
  </si>
  <si>
    <t>2446128.309 </t>
  </si>
  <si>
    <t> 03.03.1985 19:24 </t>
  </si>
  <si>
    <t> -0.023 </t>
  </si>
  <si>
    <t> R.Germann </t>
  </si>
  <si>
    <t> BBS 76/117 </t>
  </si>
  <si>
    <t>2447554.375 </t>
  </si>
  <si>
    <t> 27.01.1989 21:00 </t>
  </si>
  <si>
    <t> -0.033 </t>
  </si>
  <si>
    <t> H.Peter </t>
  </si>
  <si>
    <t> BBS 91/117 </t>
  </si>
  <si>
    <t>2447571.404 </t>
  </si>
  <si>
    <t> 13.02.1989 21:41 </t>
  </si>
  <si>
    <t> 0.147 </t>
  </si>
  <si>
    <t> J.Borovicka </t>
  </si>
  <si>
    <t> BRNO 30 </t>
  </si>
  <si>
    <t>2447859.376 </t>
  </si>
  <si>
    <t> 28.11.1989 21:01 </t>
  </si>
  <si>
    <t> A.Dedoch </t>
  </si>
  <si>
    <t>2448156.550 </t>
  </si>
  <si>
    <t> 22.09.1990 01:12 </t>
  </si>
  <si>
    <t> 0.158 </t>
  </si>
  <si>
    <t> BRNO 31 </t>
  </si>
  <si>
    <t>2448222.405 </t>
  </si>
  <si>
    <t> 26.11.1990 21:43 </t>
  </si>
  <si>
    <t>2448222.411 </t>
  </si>
  <si>
    <t> 26.11.1990 21:51 </t>
  </si>
  <si>
    <t> 0.153 </t>
  </si>
  <si>
    <t>2448271.429 </t>
  </si>
  <si>
    <t> 14.01.1991 22:17 </t>
  </si>
  <si>
    <t> 0.154 </t>
  </si>
  <si>
    <t>2449789.4142 </t>
  </si>
  <si>
    <t> 12.03.1995 21:56 </t>
  </si>
  <si>
    <t> 0.1580 </t>
  </si>
  <si>
    <t> BRNO 32 </t>
  </si>
  <si>
    <t>2450158.368 </t>
  </si>
  <si>
    <t> 15.03.1996 20:49 </t>
  </si>
  <si>
    <t> -0.044 </t>
  </si>
  <si>
    <t> BBS 111/117 </t>
  </si>
  <si>
    <t>2450518.336 </t>
  </si>
  <si>
    <t> 10.03.1997 20:03 </t>
  </si>
  <si>
    <t> -0.041 </t>
  </si>
  <si>
    <t> BBS 114/117 </t>
  </si>
  <si>
    <t>2450895.3699 </t>
  </si>
  <si>
    <t> 22.03.1998 20:52 </t>
  </si>
  <si>
    <t> 0.1777 </t>
  </si>
  <si>
    <t>E </t>
  </si>
  <si>
    <t>?</t>
  </si>
  <si>
    <t> BBS 117 </t>
  </si>
  <si>
    <t>2451255.341 </t>
  </si>
  <si>
    <t> 17.03.1999 20:11 </t>
  </si>
  <si>
    <t> 0.184 </t>
  </si>
  <si>
    <t> J.Verrot </t>
  </si>
  <si>
    <t> BBS 120 </t>
  </si>
  <si>
    <t>2451555.5644 </t>
  </si>
  <si>
    <t> 12.01.2000 01:32 </t>
  </si>
  <si>
    <t> 0.1805 </t>
  </si>
  <si>
    <t> J.Safar </t>
  </si>
  <si>
    <t>2453333.9579 </t>
  </si>
  <si>
    <t> 24.11.2004 10:59 </t>
  </si>
  <si>
    <t> 0.1922 </t>
  </si>
  <si>
    <t> T.Krajci </t>
  </si>
  <si>
    <t>IBVS 5690 </t>
  </si>
  <si>
    <t>2453672.4789 </t>
  </si>
  <si>
    <t> 28.10.2005 23:29 </t>
  </si>
  <si>
    <t> 0.1926 </t>
  </si>
  <si>
    <t>C </t>
  </si>
  <si>
    <t>o</t>
  </si>
  <si>
    <t> W.Moschner </t>
  </si>
  <si>
    <t>BAVM 178 </t>
  </si>
  <si>
    <t>2453715.3647 </t>
  </si>
  <si>
    <t> 10.12.2005 20:45 </t>
  </si>
  <si>
    <t> 0.1889 </t>
  </si>
  <si>
    <t> U.Schmidt </t>
  </si>
  <si>
    <t>2454093.7159 </t>
  </si>
  <si>
    <t> 24.12.2006 05:10 </t>
  </si>
  <si>
    <t> 0.1936 </t>
  </si>
  <si>
    <t>R</t>
  </si>
  <si>
    <t> R.Nelson </t>
  </si>
  <si>
    <t>IBVS 5760 </t>
  </si>
  <si>
    <t>2454438.3654 </t>
  </si>
  <si>
    <t> 03.12.2007 20:46 </t>
  </si>
  <si>
    <t> 0.1955 </t>
  </si>
  <si>
    <t> S.Valentini </t>
  </si>
  <si>
    <t> JAAVSO 39;102 </t>
  </si>
  <si>
    <t>2454793.7349 </t>
  </si>
  <si>
    <t> 23.11.2008 05:38 </t>
  </si>
  <si>
    <t> 0.1950 </t>
  </si>
  <si>
    <t>IBVS 5875 </t>
  </si>
  <si>
    <t>2454862.6678 </t>
  </si>
  <si>
    <t> 31.01.2009 04:01 </t>
  </si>
  <si>
    <t> 0.1983 </t>
  </si>
  <si>
    <t>IBVS 5894 </t>
  </si>
  <si>
    <t>2455181.2735 </t>
  </si>
  <si>
    <t> 15.12.2009 18:33 </t>
  </si>
  <si>
    <t> 0.1964 </t>
  </si>
  <si>
    <t> G.Corfini </t>
  </si>
  <si>
    <t>OEJV 0137 </t>
  </si>
  <si>
    <t>2455253.2658 </t>
  </si>
  <si>
    <t> 25.02.2010 18:22 </t>
  </si>
  <si>
    <t> 0.1957 </t>
  </si>
  <si>
    <t> L.Šmelcer </t>
  </si>
  <si>
    <t>2455305.3461 </t>
  </si>
  <si>
    <t> 18.04.2010 20:18 </t>
  </si>
  <si>
    <t> 0.1959 </t>
  </si>
  <si>
    <t>IBVS 5997 </t>
  </si>
  <si>
    <t>2455305.3469 </t>
  </si>
  <si>
    <t> 18.04.2010 20:19 </t>
  </si>
  <si>
    <t> 0.1967 </t>
  </si>
  <si>
    <t>2455582.5958 </t>
  </si>
  <si>
    <t> 21.01.2011 02:17 </t>
  </si>
  <si>
    <t>IBVS 5992 </t>
  </si>
  <si>
    <t>2455616.29438 </t>
  </si>
  <si>
    <t> 23.02.2011 19:03 </t>
  </si>
  <si>
    <t> 0.19541 </t>
  </si>
  <si>
    <t> M.Lehky </t>
  </si>
  <si>
    <t>OEJV 0160 </t>
  </si>
  <si>
    <t>2455642.33449 </t>
  </si>
  <si>
    <t> 21.03.2011 20:01 </t>
  </si>
  <si>
    <t> 0.19547 </t>
  </si>
  <si>
    <t>2455642.33459 </t>
  </si>
  <si>
    <t> 0.19557 </t>
  </si>
  <si>
    <t>2455956.34703 </t>
  </si>
  <si>
    <t> 29.01.2012 20:19 </t>
  </si>
  <si>
    <t> 0.19572 </t>
  </si>
  <si>
    <t>2455969.36753 </t>
  </si>
  <si>
    <t> 11.02.2012 20:49 </t>
  </si>
  <si>
    <t> 0.19619 </t>
  </si>
  <si>
    <t>2456002.30001 </t>
  </si>
  <si>
    <t> 15.03.2012 19:12 </t>
  </si>
  <si>
    <t> 0.19568 </t>
  </si>
  <si>
    <t>2456002.30031 </t>
  </si>
  <si>
    <t> 0.19598 </t>
  </si>
  <si>
    <t>2456002.30101 </t>
  </si>
  <si>
    <t> 15.03.2012 19:13 </t>
  </si>
  <si>
    <t> 0.19668 </t>
  </si>
  <si>
    <t>BAD?</t>
  </si>
  <si>
    <t>OEJV 0179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</si>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</sst>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5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76" fontId="15" fillId="0" borderId="0" xfId="0" applyNumberFormat="1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7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Tau - O-C Diagr.</a:t>
            </a:r>
          </a:p>
        </c:rich>
      </c:tx>
      <c:layout>
        <c:manualLayout>
          <c:xMode val="edge"/>
          <c:yMode val="edge"/>
          <c:x val="0.3870970820729520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3352031702506"/>
          <c:y val="0.14723926380368099"/>
          <c:w val="0.8299126176404256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D9-4704-A8B7-6411EBDF24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">
                  <c:v>0.14688639999803854</c:v>
                </c:pt>
                <c:pt idx="5">
                  <c:v>0.14663399999699323</c:v>
                </c:pt>
                <c:pt idx="6">
                  <c:v>0.15777779999916675</c:v>
                </c:pt>
                <c:pt idx="7">
                  <c:v>0.14678389999608044</c:v>
                </c:pt>
                <c:pt idx="8">
                  <c:v>0.1527838999973028</c:v>
                </c:pt>
                <c:pt idx="9">
                  <c:v>0.15423029999510618</c:v>
                </c:pt>
                <c:pt idx="14">
                  <c:v>0.1835298999940278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D9-4704-A8B7-6411EBDF24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">
                  <c:v>0.15803599999344442</c:v>
                </c:pt>
                <c:pt idx="13">
                  <c:v>0.1777453999966383</c:v>
                </c:pt>
                <c:pt idx="15">
                  <c:v>0.1835298999940278</c:v>
                </c:pt>
                <c:pt idx="16">
                  <c:v>0.1932979999910458</c:v>
                </c:pt>
                <c:pt idx="17">
                  <c:v>0.18053910000162432</c:v>
                </c:pt>
                <c:pt idx="20">
                  <c:v>0.19263049999426585</c:v>
                </c:pt>
                <c:pt idx="21">
                  <c:v>0.18894609999551903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D9-4704-A8B7-6411EBDF24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">
                  <c:v>0.19586420000268845</c:v>
                </c:pt>
                <c:pt idx="19">
                  <c:v>0.19220379999751458</c:v>
                </c:pt>
                <c:pt idx="22">
                  <c:v>0.19362299999920651</c:v>
                </c:pt>
                <c:pt idx="23">
                  <c:v>0.19548049999866635</c:v>
                </c:pt>
                <c:pt idx="24">
                  <c:v>0.19496689999505179</c:v>
                </c:pt>
                <c:pt idx="25">
                  <c:v>0.19833839999773772</c:v>
                </c:pt>
                <c:pt idx="26">
                  <c:v>0.19650999999430496</c:v>
                </c:pt>
                <c:pt idx="27">
                  <c:v>0.19569689999480033</c:v>
                </c:pt>
                <c:pt idx="28">
                  <c:v>0.19588870000006864</c:v>
                </c:pt>
                <c:pt idx="29">
                  <c:v>0.19673869999678573</c:v>
                </c:pt>
                <c:pt idx="30">
                  <c:v>0.19570740000199294</c:v>
                </c:pt>
                <c:pt idx="31">
                  <c:v>0.19557679999707034</c:v>
                </c:pt>
                <c:pt idx="32">
                  <c:v>0.19547269999748096</c:v>
                </c:pt>
                <c:pt idx="33">
                  <c:v>0.19557269999495475</c:v>
                </c:pt>
                <c:pt idx="34">
                  <c:v>0.1957161999962409</c:v>
                </c:pt>
                <c:pt idx="35">
                  <c:v>0.1961941499976092</c:v>
                </c:pt>
                <c:pt idx="36">
                  <c:v>0.19567719999031397</c:v>
                </c:pt>
                <c:pt idx="37">
                  <c:v>0.19597719999001129</c:v>
                </c:pt>
                <c:pt idx="38">
                  <c:v>0.19667719999415567</c:v>
                </c:pt>
                <c:pt idx="39">
                  <c:v>0.19730419999541482</c:v>
                </c:pt>
                <c:pt idx="40">
                  <c:v>0.1977541999949608</c:v>
                </c:pt>
                <c:pt idx="41">
                  <c:v>0.19831969999358989</c:v>
                </c:pt>
                <c:pt idx="42">
                  <c:v>0.19893969999247929</c:v>
                </c:pt>
                <c:pt idx="43">
                  <c:v>0.19898969998757821</c:v>
                </c:pt>
                <c:pt idx="44">
                  <c:v>0.19893790000060108</c:v>
                </c:pt>
                <c:pt idx="45">
                  <c:v>0.19119309994857758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D9-4704-A8B7-6411EBDF24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D9-4704-A8B7-6411EBDF24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D9-4704-A8B7-6411EBDF24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D9-4704-A8B7-6411EBDF24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0">
                  <c:v>0.19685894184112387</c:v>
                </c:pt>
                <c:pt idx="13">
                  <c:v>0.19678088237765251</c:v>
                </c:pt>
                <c:pt idx="14">
                  <c:v>0.19675547521156417</c:v>
                </c:pt>
                <c:pt idx="15">
                  <c:v>0.19675547521156417</c:v>
                </c:pt>
                <c:pt idx="16">
                  <c:v>0.19674433930472546</c:v>
                </c:pt>
                <c:pt idx="17">
                  <c:v>0.1967342845538905</c:v>
                </c:pt>
                <c:pt idx="18">
                  <c:v>0.19662476345070976</c:v>
                </c:pt>
                <c:pt idx="19">
                  <c:v>0.19660876234185412</c:v>
                </c:pt>
                <c:pt idx="20">
                  <c:v>0.19658486879417106</c:v>
                </c:pt>
                <c:pt idx="21">
                  <c:v>0.19658184155736053</c:v>
                </c:pt>
                <c:pt idx="22">
                  <c:v>0.19655513700406768</c:v>
                </c:pt>
                <c:pt idx="23">
                  <c:v>0.19653081099398312</c:v>
                </c:pt>
                <c:pt idx="24">
                  <c:v>0.19650572817469592</c:v>
                </c:pt>
                <c:pt idx="25">
                  <c:v>0.19650086297267899</c:v>
                </c:pt>
                <c:pt idx="26">
                  <c:v>0.19647837492780082</c:v>
                </c:pt>
                <c:pt idx="27">
                  <c:v>0.19647329349458315</c:v>
                </c:pt>
                <c:pt idx="28">
                  <c:v>0.19646961756417036</c:v>
                </c:pt>
                <c:pt idx="29">
                  <c:v>0.19646961756417036</c:v>
                </c:pt>
                <c:pt idx="30">
                  <c:v>0.19645004864050233</c:v>
                </c:pt>
                <c:pt idx="31">
                  <c:v>0.19644767009729408</c:v>
                </c:pt>
                <c:pt idx="32">
                  <c:v>0.19644583213208769</c:v>
                </c:pt>
                <c:pt idx="33">
                  <c:v>0.19644583213208769</c:v>
                </c:pt>
                <c:pt idx="34">
                  <c:v>0.19642366843401063</c:v>
                </c:pt>
                <c:pt idx="35">
                  <c:v>0.19642274945140745</c:v>
                </c:pt>
                <c:pt idx="36">
                  <c:v>0.19642042496599935</c:v>
                </c:pt>
                <c:pt idx="37">
                  <c:v>0.19642042496599935</c:v>
                </c:pt>
                <c:pt idx="38">
                  <c:v>0.19642042496599935</c:v>
                </c:pt>
                <c:pt idx="39">
                  <c:v>0.19637609756984525</c:v>
                </c:pt>
                <c:pt idx="40">
                  <c:v>0.19637609756984525</c:v>
                </c:pt>
                <c:pt idx="41">
                  <c:v>0.19634744693574566</c:v>
                </c:pt>
                <c:pt idx="42">
                  <c:v>0.19634744693574566</c:v>
                </c:pt>
                <c:pt idx="43">
                  <c:v>0.19634744693574566</c:v>
                </c:pt>
                <c:pt idx="44">
                  <c:v>0.19631868818604567</c:v>
                </c:pt>
                <c:pt idx="45">
                  <c:v>0.19619154424000365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D9-4704-A8B7-6411EBDF247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-1.0056900006020442E-2</c:v>
                </c:pt>
                <c:pt idx="2">
                  <c:v>-2.3317000006500166E-2</c:v>
                </c:pt>
                <c:pt idx="3">
                  <c:v>-3.2673300003807526E-2</c:v>
                </c:pt>
                <c:pt idx="11">
                  <c:v>-4.4083300002967007E-2</c:v>
                </c:pt>
                <c:pt idx="12">
                  <c:v>-4.1398800000024494E-2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D9-4704-A8B7-6411EBDF2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6608"/>
        <c:axId val="1"/>
      </c:scatterChart>
      <c:valAx>
        <c:axId val="765826608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944427767643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2"/>
          <c:min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6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08813047929125"/>
          <c:y val="0.92024539877300615"/>
          <c:w val="0.7507335996490175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Tau - O-C Diagr.</a:t>
            </a:r>
          </a:p>
        </c:rich>
      </c:tx>
      <c:layout>
        <c:manualLayout>
          <c:xMode val="edge"/>
          <c:yMode val="edge"/>
          <c:x val="0.3879941434846266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678942920199375"/>
          <c:w val="0.8243045387994143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76-45D5-A60B-01E9A07C35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">
                  <c:v>0.14688639999803854</c:v>
                </c:pt>
                <c:pt idx="5">
                  <c:v>0.14663399999699323</c:v>
                </c:pt>
                <c:pt idx="6">
                  <c:v>0.15777779999916675</c:v>
                </c:pt>
                <c:pt idx="7">
                  <c:v>0.14678389999608044</c:v>
                </c:pt>
                <c:pt idx="8">
                  <c:v>0.1527838999973028</c:v>
                </c:pt>
                <c:pt idx="9">
                  <c:v>0.15423029999510618</c:v>
                </c:pt>
                <c:pt idx="14">
                  <c:v>0.1835298999940278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76-45D5-A60B-01E9A07C35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">
                  <c:v>0.15803599999344442</c:v>
                </c:pt>
                <c:pt idx="13">
                  <c:v>0.1777453999966383</c:v>
                </c:pt>
                <c:pt idx="15">
                  <c:v>0.1835298999940278</c:v>
                </c:pt>
                <c:pt idx="16">
                  <c:v>0.1932979999910458</c:v>
                </c:pt>
                <c:pt idx="17">
                  <c:v>0.18053910000162432</c:v>
                </c:pt>
                <c:pt idx="20">
                  <c:v>0.19263049999426585</c:v>
                </c:pt>
                <c:pt idx="21">
                  <c:v>0.18894609999551903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76-45D5-A60B-01E9A07C35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">
                  <c:v>0.19586420000268845</c:v>
                </c:pt>
                <c:pt idx="19">
                  <c:v>0.19220379999751458</c:v>
                </c:pt>
                <c:pt idx="22">
                  <c:v>0.19362299999920651</c:v>
                </c:pt>
                <c:pt idx="23">
                  <c:v>0.19548049999866635</c:v>
                </c:pt>
                <c:pt idx="24">
                  <c:v>0.19496689999505179</c:v>
                </c:pt>
                <c:pt idx="25">
                  <c:v>0.19833839999773772</c:v>
                </c:pt>
                <c:pt idx="26">
                  <c:v>0.19650999999430496</c:v>
                </c:pt>
                <c:pt idx="27">
                  <c:v>0.19569689999480033</c:v>
                </c:pt>
                <c:pt idx="28">
                  <c:v>0.19588870000006864</c:v>
                </c:pt>
                <c:pt idx="29">
                  <c:v>0.19673869999678573</c:v>
                </c:pt>
                <c:pt idx="30">
                  <c:v>0.19570740000199294</c:v>
                </c:pt>
                <c:pt idx="31">
                  <c:v>0.19557679999707034</c:v>
                </c:pt>
                <c:pt idx="32">
                  <c:v>0.19547269999748096</c:v>
                </c:pt>
                <c:pt idx="33">
                  <c:v>0.19557269999495475</c:v>
                </c:pt>
                <c:pt idx="34">
                  <c:v>0.1957161999962409</c:v>
                </c:pt>
                <c:pt idx="35">
                  <c:v>0.1961941499976092</c:v>
                </c:pt>
                <c:pt idx="36">
                  <c:v>0.19567719999031397</c:v>
                </c:pt>
                <c:pt idx="37">
                  <c:v>0.19597719999001129</c:v>
                </c:pt>
                <c:pt idx="38">
                  <c:v>0.19667719999415567</c:v>
                </c:pt>
                <c:pt idx="39">
                  <c:v>0.19730419999541482</c:v>
                </c:pt>
                <c:pt idx="40">
                  <c:v>0.1977541999949608</c:v>
                </c:pt>
                <c:pt idx="41">
                  <c:v>0.19831969999358989</c:v>
                </c:pt>
                <c:pt idx="42">
                  <c:v>0.19893969999247929</c:v>
                </c:pt>
                <c:pt idx="43">
                  <c:v>0.19898969998757821</c:v>
                </c:pt>
                <c:pt idx="44">
                  <c:v>0.19893790000060108</c:v>
                </c:pt>
                <c:pt idx="45">
                  <c:v>0.19119309994857758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76-45D5-A60B-01E9A07C35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76-45D5-A60B-01E9A07C35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76-45D5-A60B-01E9A07C35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76-45D5-A60B-01E9A07C35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0">
                  <c:v>0.19685894184112387</c:v>
                </c:pt>
                <c:pt idx="13">
                  <c:v>0.19678088237765251</c:v>
                </c:pt>
                <c:pt idx="14">
                  <c:v>0.19675547521156417</c:v>
                </c:pt>
                <c:pt idx="15">
                  <c:v>0.19675547521156417</c:v>
                </c:pt>
                <c:pt idx="16">
                  <c:v>0.19674433930472546</c:v>
                </c:pt>
                <c:pt idx="17">
                  <c:v>0.1967342845538905</c:v>
                </c:pt>
                <c:pt idx="18">
                  <c:v>0.19662476345070976</c:v>
                </c:pt>
                <c:pt idx="19">
                  <c:v>0.19660876234185412</c:v>
                </c:pt>
                <c:pt idx="20">
                  <c:v>0.19658486879417106</c:v>
                </c:pt>
                <c:pt idx="21">
                  <c:v>0.19658184155736053</c:v>
                </c:pt>
                <c:pt idx="22">
                  <c:v>0.19655513700406768</c:v>
                </c:pt>
                <c:pt idx="23">
                  <c:v>0.19653081099398312</c:v>
                </c:pt>
                <c:pt idx="24">
                  <c:v>0.19650572817469592</c:v>
                </c:pt>
                <c:pt idx="25">
                  <c:v>0.19650086297267899</c:v>
                </c:pt>
                <c:pt idx="26">
                  <c:v>0.19647837492780082</c:v>
                </c:pt>
                <c:pt idx="27">
                  <c:v>0.19647329349458315</c:v>
                </c:pt>
                <c:pt idx="28">
                  <c:v>0.19646961756417036</c:v>
                </c:pt>
                <c:pt idx="29">
                  <c:v>0.19646961756417036</c:v>
                </c:pt>
                <c:pt idx="30">
                  <c:v>0.19645004864050233</c:v>
                </c:pt>
                <c:pt idx="31">
                  <c:v>0.19644767009729408</c:v>
                </c:pt>
                <c:pt idx="32">
                  <c:v>0.19644583213208769</c:v>
                </c:pt>
                <c:pt idx="33">
                  <c:v>0.19644583213208769</c:v>
                </c:pt>
                <c:pt idx="34">
                  <c:v>0.19642366843401063</c:v>
                </c:pt>
                <c:pt idx="35">
                  <c:v>0.19642274945140745</c:v>
                </c:pt>
                <c:pt idx="36">
                  <c:v>0.19642042496599935</c:v>
                </c:pt>
                <c:pt idx="37">
                  <c:v>0.19642042496599935</c:v>
                </c:pt>
                <c:pt idx="38">
                  <c:v>0.19642042496599935</c:v>
                </c:pt>
                <c:pt idx="39">
                  <c:v>0.19637609756984525</c:v>
                </c:pt>
                <c:pt idx="40">
                  <c:v>0.19637609756984525</c:v>
                </c:pt>
                <c:pt idx="41">
                  <c:v>0.19634744693574566</c:v>
                </c:pt>
                <c:pt idx="42">
                  <c:v>0.19634744693574566</c:v>
                </c:pt>
                <c:pt idx="43">
                  <c:v>0.19634744693574566</c:v>
                </c:pt>
                <c:pt idx="44">
                  <c:v>0.19631868818604567</c:v>
                </c:pt>
                <c:pt idx="45">
                  <c:v>0.19619154424000365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76-45D5-A60B-01E9A07C35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-1.0056900006020442E-2</c:v>
                </c:pt>
                <c:pt idx="2">
                  <c:v>-2.3317000006500166E-2</c:v>
                </c:pt>
                <c:pt idx="3">
                  <c:v>-3.2673300003807526E-2</c:v>
                </c:pt>
                <c:pt idx="11">
                  <c:v>-4.4083300002967007E-2</c:v>
                </c:pt>
                <c:pt idx="12">
                  <c:v>-4.1398800000024494E-2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76-45D5-A60B-01E9A07C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7592"/>
        <c:axId val="1"/>
      </c:scatterChart>
      <c:valAx>
        <c:axId val="7658275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581259150804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23133235724744"/>
          <c:y val="0.9204921861831491"/>
          <c:w val="0.7496339677891654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276225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EBBF812-C9AD-304D-5F3D-2E2FE64BF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0</xdr:rowOff>
    </xdr:from>
    <xdr:to>
      <xdr:col>27</xdr:col>
      <xdr:colOff>161925</xdr:colOff>
      <xdr:row>18</xdr:row>
      <xdr:rowOff>28575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31D93D68-24E2-26D4-775B-0D9A6C121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5875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760" TargetMode="External"/><Relationship Id="rId9" Type="http://schemas.openxmlformats.org/officeDocument/2006/relationships/hyperlink" Target="http://www.konkoly.hu/cgi-bin/IBVS?5997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51</v>
      </c>
    </row>
    <row r="2" spans="1:6">
      <c r="A2" t="s">
        <v>25</v>
      </c>
      <c r="B2" s="13" t="s">
        <v>49</v>
      </c>
    </row>
    <row r="3" spans="1:6" ht="13.5" thickBot="1">
      <c r="C3" s="11" t="s">
        <v>74</v>
      </c>
    </row>
    <row r="4" spans="1:6" ht="14.25" thickTop="1" thickBot="1">
      <c r="A4" s="7" t="s">
        <v>1</v>
      </c>
      <c r="C4" s="3">
        <v>36493.516000000003</v>
      </c>
      <c r="D4" s="4">
        <v>1.5317673000000001</v>
      </c>
    </row>
    <row r="5" spans="1:6" ht="13.5" thickTop="1">
      <c r="A5" s="21" t="s">
        <v>56</v>
      </c>
      <c r="B5" s="15"/>
      <c r="C5" s="22">
        <v>-9.5</v>
      </c>
      <c r="D5" s="15" t="s">
        <v>57</v>
      </c>
    </row>
    <row r="6" spans="1:6">
      <c r="A6" s="7" t="s">
        <v>2</v>
      </c>
      <c r="C6" s="10"/>
    </row>
    <row r="7" spans="1:6">
      <c r="A7" t="s">
        <v>3</v>
      </c>
      <c r="C7">
        <f>+C4</f>
        <v>36493.516000000003</v>
      </c>
    </row>
    <row r="8" spans="1:6">
      <c r="A8" t="s">
        <v>4</v>
      </c>
      <c r="C8">
        <f>+D4</f>
        <v>1.5317673000000001</v>
      </c>
    </row>
    <row r="9" spans="1:6">
      <c r="A9" s="33" t="s">
        <v>62</v>
      </c>
      <c r="B9" s="62">
        <v>44</v>
      </c>
      <c r="C9" s="24" t="str">
        <f>"F"&amp;B9</f>
        <v>F44</v>
      </c>
      <c r="D9" s="10" t="str">
        <f>"G"&amp;B9</f>
        <v>G44</v>
      </c>
    </row>
    <row r="10" spans="1:6" ht="13.5" thickBot="1">
      <c r="A10" s="15"/>
      <c r="B10" s="15"/>
      <c r="C10" s="6" t="s">
        <v>21</v>
      </c>
      <c r="D10" s="6" t="s">
        <v>22</v>
      </c>
      <c r="E10" s="15"/>
    </row>
    <row r="11" spans="1:6">
      <c r="A11" s="15" t="s">
        <v>17</v>
      </c>
      <c r="B11" s="15"/>
      <c r="C11" s="23">
        <f ca="1">INTERCEPT(INDIRECT($D$9):G988,INDIRECT($C$9):F988)</f>
        <v>0.19779738525238641</v>
      </c>
      <c r="D11" s="5"/>
      <c r="E11" s="15"/>
    </row>
    <row r="12" spans="1:6">
      <c r="A12" s="15" t="s">
        <v>18</v>
      </c>
      <c r="B12" s="15"/>
      <c r="C12" s="23">
        <f ca="1">SLOPE(INDIRECT($D$9):G988,INDIRECT($C$9):F988)</f>
        <v>-1.0811560037586804E-7</v>
      </c>
      <c r="D12" s="5"/>
      <c r="E12" s="15"/>
    </row>
    <row r="13" spans="1:6">
      <c r="A13" s="15" t="s">
        <v>20</v>
      </c>
      <c r="B13" s="15"/>
      <c r="C13" s="5" t="s">
        <v>15</v>
      </c>
    </row>
    <row r="14" spans="1:6">
      <c r="A14" s="15"/>
      <c r="B14" s="15"/>
      <c r="C14" s="15"/>
    </row>
    <row r="15" spans="1:6">
      <c r="A15" s="25" t="s">
        <v>19</v>
      </c>
      <c r="B15" s="15"/>
      <c r="C15" s="12">
        <f ca="1">(C7+C11)+(C8+C12)*INT(MAX(F21:F3529))</f>
        <v>59245.051898444246</v>
      </c>
      <c r="E15" s="26" t="s">
        <v>65</v>
      </c>
      <c r="F15" s="22">
        <v>1</v>
      </c>
    </row>
    <row r="16" spans="1:6">
      <c r="A16" s="28" t="s">
        <v>5</v>
      </c>
      <c r="B16" s="15"/>
      <c r="C16" s="29">
        <f ca="1">+C8+C12</f>
        <v>1.5317671918843996</v>
      </c>
      <c r="E16" s="26" t="s">
        <v>58</v>
      </c>
      <c r="F16" s="27">
        <f ca="1">NOW()+15018.5+$C$5/24</f>
        <v>59968.834842129625</v>
      </c>
    </row>
    <row r="17" spans="1:33" ht="13.5" thickBot="1">
      <c r="A17" s="26" t="s">
        <v>50</v>
      </c>
      <c r="B17" s="15"/>
      <c r="C17" s="15">
        <f>COUNT(C21:C2187)</f>
        <v>46</v>
      </c>
      <c r="E17" s="26" t="s">
        <v>66</v>
      </c>
      <c r="F17" s="27">
        <f ca="1">ROUND(2*(F16-$C$7)/$C$8,0)/2+F15</f>
        <v>15326.5</v>
      </c>
    </row>
    <row r="18" spans="1:33" ht="14.25" thickTop="1" thickBot="1">
      <c r="A18" s="28" t="s">
        <v>6</v>
      </c>
      <c r="B18" s="15"/>
      <c r="C18" s="31">
        <f ca="1">+C15</f>
        <v>59245.051898444246</v>
      </c>
      <c r="D18" s="32">
        <f ca="1">+C16</f>
        <v>1.5317671918843996</v>
      </c>
      <c r="E18" s="26" t="s">
        <v>59</v>
      </c>
      <c r="F18" s="10">
        <f ca="1">ROUND(2*(F16-$C$15)/$C$16,0)/2+F15</f>
        <v>473.5</v>
      </c>
    </row>
    <row r="19" spans="1:33" ht="13.5" thickTop="1">
      <c r="E19" s="26" t="s">
        <v>60</v>
      </c>
      <c r="F19" s="30">
        <f ca="1">+$C$15+$C$16*F18-15018.5-$C$5/24</f>
        <v>44952.239497134848</v>
      </c>
    </row>
    <row r="20" spans="1:33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82</v>
      </c>
      <c r="I20" s="9" t="s">
        <v>85</v>
      </c>
      <c r="J20" s="9" t="s">
        <v>79</v>
      </c>
      <c r="K20" s="9" t="s">
        <v>77</v>
      </c>
      <c r="L20" s="9" t="s">
        <v>54</v>
      </c>
      <c r="M20" s="9" t="s">
        <v>55</v>
      </c>
      <c r="N20" s="9" t="s">
        <v>26</v>
      </c>
      <c r="O20" s="9" t="s">
        <v>24</v>
      </c>
      <c r="P20" s="8" t="s">
        <v>23</v>
      </c>
      <c r="Q20" s="6" t="s">
        <v>16</v>
      </c>
      <c r="U20" s="61" t="s">
        <v>233</v>
      </c>
    </row>
    <row r="21" spans="1:33">
      <c r="A21" t="s">
        <v>13</v>
      </c>
      <c r="C21" s="18">
        <v>36493.516000000003</v>
      </c>
      <c r="D21" s="18" t="s">
        <v>15</v>
      </c>
      <c r="E21">
        <f t="shared" ref="E21:E61" si="0">+(C21-C$7)/C$8</f>
        <v>0</v>
      </c>
      <c r="F21">
        <f t="shared" ref="F21:F65" si="1">ROUND(2*E21,0)/2</f>
        <v>0</v>
      </c>
      <c r="H21">
        <v>0</v>
      </c>
      <c r="Q21" s="2">
        <f t="shared" ref="Q21:Q61" si="2">+C21-15018.5</f>
        <v>21475.016000000003</v>
      </c>
    </row>
    <row r="22" spans="1:33">
      <c r="A22" t="s">
        <v>28</v>
      </c>
      <c r="B22" s="12" t="s">
        <v>44</v>
      </c>
      <c r="C22" s="19">
        <v>43161.288999999997</v>
      </c>
      <c r="D22" s="18"/>
      <c r="E22">
        <f t="shared" si="0"/>
        <v>4352.9934344465992</v>
      </c>
      <c r="F22">
        <f t="shared" si="1"/>
        <v>4353</v>
      </c>
      <c r="Q22" s="2">
        <f t="shared" si="2"/>
        <v>28142.788999999997</v>
      </c>
      <c r="U22" s="10">
        <v>-1.0056900006020442E-2</v>
      </c>
      <c r="AC22">
        <v>6</v>
      </c>
      <c r="AE22" t="s">
        <v>27</v>
      </c>
      <c r="AG22" t="s">
        <v>29</v>
      </c>
    </row>
    <row r="23" spans="1:33">
      <c r="A23" t="s">
        <v>32</v>
      </c>
      <c r="B23" s="12" t="s">
        <v>44</v>
      </c>
      <c r="C23" s="19">
        <v>46128.309000000001</v>
      </c>
      <c r="D23" s="18"/>
      <c r="E23">
        <f t="shared" si="0"/>
        <v>6289.9847777139503</v>
      </c>
      <c r="F23">
        <f t="shared" si="1"/>
        <v>6290</v>
      </c>
      <c r="Q23" s="2">
        <f t="shared" si="2"/>
        <v>31109.809000000001</v>
      </c>
      <c r="U23" s="10">
        <v>-2.3317000006500166E-2</v>
      </c>
      <c r="AB23" t="s">
        <v>30</v>
      </c>
      <c r="AC23">
        <v>7</v>
      </c>
      <c r="AE23" t="s">
        <v>31</v>
      </c>
      <c r="AG23" t="s">
        <v>29</v>
      </c>
    </row>
    <row r="24" spans="1:33">
      <c r="A24" t="s">
        <v>34</v>
      </c>
      <c r="B24" s="12" t="s">
        <v>44</v>
      </c>
      <c r="C24" s="19">
        <v>47554.375</v>
      </c>
      <c r="D24" s="18"/>
      <c r="E24">
        <f t="shared" si="0"/>
        <v>7220.9786695407302</v>
      </c>
      <c r="F24">
        <f t="shared" si="1"/>
        <v>7221</v>
      </c>
      <c r="Q24" s="2">
        <f t="shared" si="2"/>
        <v>32535.875</v>
      </c>
      <c r="U24" s="10">
        <v>-3.2673300003807526E-2</v>
      </c>
      <c r="AB24" t="s">
        <v>30</v>
      </c>
      <c r="AC24">
        <v>8</v>
      </c>
      <c r="AE24" t="s">
        <v>33</v>
      </c>
      <c r="AG24" t="s">
        <v>29</v>
      </c>
    </row>
    <row r="25" spans="1:33">
      <c r="A25" t="s">
        <v>35</v>
      </c>
      <c r="C25" s="18">
        <v>47571.404000000002</v>
      </c>
      <c r="D25" s="18"/>
      <c r="E25">
        <f t="shared" si="0"/>
        <v>7232.0958934167083</v>
      </c>
      <c r="F25">
        <f t="shared" si="1"/>
        <v>7232</v>
      </c>
      <c r="G25">
        <f t="shared" ref="G25:G30" si="3">+C25-(C$7+F25*C$8)</f>
        <v>0.14688639999803854</v>
      </c>
      <c r="I25">
        <f t="shared" ref="I25:I30" si="4">G25</f>
        <v>0.14688639999803854</v>
      </c>
      <c r="Q25" s="2">
        <f t="shared" si="2"/>
        <v>32552.904000000002</v>
      </c>
      <c r="AB25" t="s">
        <v>30</v>
      </c>
      <c r="AG25" t="s">
        <v>36</v>
      </c>
    </row>
    <row r="26" spans="1:33">
      <c r="A26" t="s">
        <v>35</v>
      </c>
      <c r="C26" s="18">
        <v>47859.375999999997</v>
      </c>
      <c r="D26" s="18"/>
      <c r="E26">
        <f t="shared" si="0"/>
        <v>7420.0957286397179</v>
      </c>
      <c r="F26">
        <f t="shared" si="1"/>
        <v>7420</v>
      </c>
      <c r="G26">
        <f t="shared" si="3"/>
        <v>0.14663399999699323</v>
      </c>
      <c r="I26">
        <f t="shared" si="4"/>
        <v>0.14663399999699323</v>
      </c>
      <c r="Q26" s="2">
        <f t="shared" si="2"/>
        <v>32840.875999999997</v>
      </c>
      <c r="AB26" t="s">
        <v>30</v>
      </c>
      <c r="AG26" t="s">
        <v>36</v>
      </c>
    </row>
    <row r="27" spans="1:33">
      <c r="A27" t="s">
        <v>37</v>
      </c>
      <c r="C27" s="18">
        <v>48156.55</v>
      </c>
      <c r="D27" s="18"/>
      <c r="E27">
        <f t="shared" si="0"/>
        <v>7614.1030037656501</v>
      </c>
      <c r="F27">
        <f t="shared" si="1"/>
        <v>7614</v>
      </c>
      <c r="G27">
        <f t="shared" si="3"/>
        <v>0.15777779999916675</v>
      </c>
      <c r="I27">
        <f t="shared" si="4"/>
        <v>0.15777779999916675</v>
      </c>
      <c r="Q27" s="2">
        <f t="shared" si="2"/>
        <v>33138.050000000003</v>
      </c>
      <c r="AB27" t="s">
        <v>30</v>
      </c>
      <c r="AG27" t="s">
        <v>36</v>
      </c>
    </row>
    <row r="28" spans="1:33">
      <c r="A28" t="s">
        <v>37</v>
      </c>
      <c r="C28" s="18">
        <v>48222.404999999999</v>
      </c>
      <c r="D28" s="18"/>
      <c r="E28">
        <f t="shared" si="0"/>
        <v>7657.0958265005365</v>
      </c>
      <c r="F28">
        <f t="shared" si="1"/>
        <v>7657</v>
      </c>
      <c r="G28">
        <f t="shared" si="3"/>
        <v>0.14678389999608044</v>
      </c>
      <c r="I28">
        <f t="shared" si="4"/>
        <v>0.14678389999608044</v>
      </c>
      <c r="Q28" s="2">
        <f t="shared" si="2"/>
        <v>33203.904999999999</v>
      </c>
      <c r="AB28" t="s">
        <v>30</v>
      </c>
      <c r="AG28" t="s">
        <v>36</v>
      </c>
    </row>
    <row r="29" spans="1:33">
      <c r="A29" t="s">
        <v>37</v>
      </c>
      <c r="C29" s="18">
        <v>48222.411</v>
      </c>
      <c r="D29" s="18"/>
      <c r="E29">
        <f t="shared" si="0"/>
        <v>7657.0997435445952</v>
      </c>
      <c r="F29">
        <f t="shared" si="1"/>
        <v>7657</v>
      </c>
      <c r="G29">
        <f t="shared" si="3"/>
        <v>0.1527838999973028</v>
      </c>
      <c r="I29">
        <f t="shared" si="4"/>
        <v>0.1527838999973028</v>
      </c>
      <c r="Q29" s="2">
        <f t="shared" si="2"/>
        <v>33203.911</v>
      </c>
      <c r="AB29" t="s">
        <v>30</v>
      </c>
      <c r="AG29" t="s">
        <v>36</v>
      </c>
    </row>
    <row r="30" spans="1:33">
      <c r="A30" t="s">
        <v>37</v>
      </c>
      <c r="C30" s="18">
        <v>48271.428999999996</v>
      </c>
      <c r="D30" s="18"/>
      <c r="E30">
        <f t="shared" si="0"/>
        <v>7689.1006878133467</v>
      </c>
      <c r="F30">
        <f t="shared" si="1"/>
        <v>7689</v>
      </c>
      <c r="G30">
        <f t="shared" si="3"/>
        <v>0.15423029999510618</v>
      </c>
      <c r="I30">
        <f t="shared" si="4"/>
        <v>0.15423029999510618</v>
      </c>
      <c r="Q30" s="2">
        <f t="shared" si="2"/>
        <v>33252.928999999996</v>
      </c>
      <c r="AB30" t="s">
        <v>30</v>
      </c>
      <c r="AG30" t="s">
        <v>36</v>
      </c>
    </row>
    <row r="31" spans="1:33">
      <c r="A31" s="58" t="s">
        <v>131</v>
      </c>
      <c r="B31" s="60" t="s">
        <v>47</v>
      </c>
      <c r="C31" s="59">
        <v>49789.414199999999</v>
      </c>
      <c r="D31" s="17"/>
      <c r="E31" s="44">
        <f t="shared" si="0"/>
        <v>8680.1031723291107</v>
      </c>
      <c r="F31">
        <f t="shared" si="1"/>
        <v>8680</v>
      </c>
      <c r="G31">
        <f>+C31-(C$7+F31*C$8)</f>
        <v>0.15803599999344442</v>
      </c>
      <c r="J31">
        <f>G31</f>
        <v>0.15803599999344442</v>
      </c>
      <c r="O31">
        <f ca="1">+C$11+C$12*$F31</f>
        <v>0.19685894184112387</v>
      </c>
      <c r="Q31" s="2">
        <f t="shared" si="2"/>
        <v>34770.914199999999</v>
      </c>
    </row>
    <row r="32" spans="1:33">
      <c r="A32" t="s">
        <v>38</v>
      </c>
      <c r="B32" s="12" t="s">
        <v>44</v>
      </c>
      <c r="C32" s="19">
        <v>50158.368000000002</v>
      </c>
      <c r="D32" s="18">
        <v>5.0000000000000001E-3</v>
      </c>
      <c r="E32">
        <f t="shared" si="0"/>
        <v>8920.9712206286149</v>
      </c>
      <c r="F32">
        <f t="shared" si="1"/>
        <v>8921</v>
      </c>
      <c r="Q32" s="2">
        <f t="shared" si="2"/>
        <v>35139.868000000002</v>
      </c>
      <c r="U32" s="10">
        <v>-4.4083300002967007E-2</v>
      </c>
      <c r="AB32" t="s">
        <v>30</v>
      </c>
      <c r="AC32">
        <v>8</v>
      </c>
      <c r="AE32" t="s">
        <v>33</v>
      </c>
      <c r="AG32" t="s">
        <v>29</v>
      </c>
    </row>
    <row r="33" spans="1:33">
      <c r="A33" t="s">
        <v>39</v>
      </c>
      <c r="B33" s="12" t="s">
        <v>44</v>
      </c>
      <c r="C33" s="19">
        <v>50518.336000000003</v>
      </c>
      <c r="D33" s="18">
        <v>5.0000000000000001E-3</v>
      </c>
      <c r="E33">
        <f t="shared" si="0"/>
        <v>9155.9729731794105</v>
      </c>
      <c r="F33">
        <f t="shared" si="1"/>
        <v>9156</v>
      </c>
      <c r="Q33" s="2">
        <f t="shared" si="2"/>
        <v>35499.836000000003</v>
      </c>
      <c r="U33" s="10">
        <v>-4.1398800000024494E-2</v>
      </c>
      <c r="AB33" t="s">
        <v>30</v>
      </c>
      <c r="AC33">
        <v>8</v>
      </c>
      <c r="AE33" t="s">
        <v>33</v>
      </c>
      <c r="AG33" t="s">
        <v>29</v>
      </c>
    </row>
    <row r="34" spans="1:33">
      <c r="A34" t="s">
        <v>41</v>
      </c>
      <c r="C34" s="18">
        <v>50895.369899999998</v>
      </c>
      <c r="D34" s="18">
        <v>8.9999999999999998E-4</v>
      </c>
      <c r="E34">
        <f t="shared" si="0"/>
        <v>9402.1160394271337</v>
      </c>
      <c r="F34">
        <f t="shared" si="1"/>
        <v>9402</v>
      </c>
      <c r="G34">
        <f t="shared" ref="G34:G61" si="5">+C34-(C$7+F34*C$8)</f>
        <v>0.1777453999966383</v>
      </c>
      <c r="J34">
        <f>+G34</f>
        <v>0.1777453999966383</v>
      </c>
      <c r="O34">
        <f t="shared" ref="O34:O61" ca="1" si="6">+C$11+C$12*$F34</f>
        <v>0.19678088237765251</v>
      </c>
      <c r="Q34" s="2">
        <f t="shared" si="2"/>
        <v>35876.869899999998</v>
      </c>
      <c r="AB34" t="s">
        <v>40</v>
      </c>
      <c r="AC34">
        <v>15</v>
      </c>
      <c r="AE34" t="s">
        <v>27</v>
      </c>
      <c r="AG34" t="s">
        <v>29</v>
      </c>
    </row>
    <row r="35" spans="1:33">
      <c r="A35" t="s">
        <v>43</v>
      </c>
      <c r="B35" s="5"/>
      <c r="C35" s="18">
        <v>51255.341</v>
      </c>
      <c r="D35" s="18">
        <v>3.0000000000000001E-3</v>
      </c>
      <c r="E35">
        <f t="shared" si="0"/>
        <v>9637.1198157840263</v>
      </c>
      <c r="F35">
        <f t="shared" si="1"/>
        <v>9637</v>
      </c>
      <c r="G35">
        <f t="shared" si="5"/>
        <v>0.1835298999940278</v>
      </c>
      <c r="I35">
        <f>+G35</f>
        <v>0.1835298999940278</v>
      </c>
      <c r="O35">
        <f t="shared" ca="1" si="6"/>
        <v>0.19675547521156417</v>
      </c>
      <c r="Q35" s="2">
        <f t="shared" si="2"/>
        <v>36236.841</v>
      </c>
      <c r="AB35" t="s">
        <v>30</v>
      </c>
      <c r="AC35">
        <v>17</v>
      </c>
      <c r="AE35" t="s">
        <v>42</v>
      </c>
      <c r="AG35" t="s">
        <v>36</v>
      </c>
    </row>
    <row r="36" spans="1:33">
      <c r="A36" t="s">
        <v>43</v>
      </c>
      <c r="B36" s="5"/>
      <c r="C36" s="20">
        <v>51255.341</v>
      </c>
      <c r="D36" s="18"/>
      <c r="E36">
        <f t="shared" si="0"/>
        <v>9637.1198157840263</v>
      </c>
      <c r="F36">
        <f t="shared" si="1"/>
        <v>9637</v>
      </c>
      <c r="G36">
        <f t="shared" si="5"/>
        <v>0.1835298999940278</v>
      </c>
      <c r="J36">
        <f>G36</f>
        <v>0.1835298999940278</v>
      </c>
      <c r="O36">
        <f t="shared" ca="1" si="6"/>
        <v>0.19675547521156417</v>
      </c>
      <c r="Q36" s="2">
        <f t="shared" si="2"/>
        <v>36236.841</v>
      </c>
    </row>
    <row r="37" spans="1:33">
      <c r="A37" t="s">
        <v>46</v>
      </c>
      <c r="B37" s="5" t="s">
        <v>47</v>
      </c>
      <c r="C37" s="20">
        <v>51413.122799999997</v>
      </c>
      <c r="D37" s="18"/>
      <c r="E37">
        <f t="shared" si="0"/>
        <v>9740.1261927970354</v>
      </c>
      <c r="F37">
        <f t="shared" si="1"/>
        <v>9740</v>
      </c>
      <c r="G37">
        <f t="shared" si="5"/>
        <v>0.1932979999910458</v>
      </c>
      <c r="J37">
        <f>G37</f>
        <v>0.1932979999910458</v>
      </c>
      <c r="O37">
        <f t="shared" ca="1" si="6"/>
        <v>0.19674433930472546</v>
      </c>
      <c r="Q37" s="2">
        <f t="shared" si="2"/>
        <v>36394.622799999997</v>
      </c>
    </row>
    <row r="38" spans="1:33">
      <c r="A38" t="s">
        <v>48</v>
      </c>
      <c r="B38" s="5"/>
      <c r="C38" s="20">
        <v>51555.564400000003</v>
      </c>
      <c r="D38" s="18"/>
      <c r="E38">
        <f t="shared" si="0"/>
        <v>9833.1178632681349</v>
      </c>
      <c r="F38">
        <f t="shared" si="1"/>
        <v>9833</v>
      </c>
      <c r="G38">
        <f t="shared" si="5"/>
        <v>0.18053910000162432</v>
      </c>
      <c r="J38">
        <f>G38</f>
        <v>0.18053910000162432</v>
      </c>
      <c r="O38">
        <f t="shared" ca="1" si="6"/>
        <v>0.1967342845538905</v>
      </c>
      <c r="Q38" s="2">
        <f t="shared" si="2"/>
        <v>36537.064400000003</v>
      </c>
    </row>
    <row r="39" spans="1:33">
      <c r="A39" t="s">
        <v>45</v>
      </c>
      <c r="B39" s="5"/>
      <c r="C39" s="18">
        <v>53107.26</v>
      </c>
      <c r="D39" s="18">
        <v>0.01</v>
      </c>
      <c r="E39">
        <f t="shared" si="0"/>
        <v>10846.127868116781</v>
      </c>
      <c r="F39">
        <f t="shared" si="1"/>
        <v>10846</v>
      </c>
      <c r="G39">
        <f t="shared" si="5"/>
        <v>0.19586420000268845</v>
      </c>
      <c r="K39">
        <f>+G39</f>
        <v>0.19586420000268845</v>
      </c>
      <c r="O39">
        <f t="shared" ca="1" si="6"/>
        <v>0.19662476345070976</v>
      </c>
      <c r="Q39" s="2">
        <f t="shared" si="2"/>
        <v>38088.76</v>
      </c>
    </row>
    <row r="40" spans="1:33">
      <c r="A40" s="14" t="s">
        <v>52</v>
      </c>
      <c r="B40" s="5" t="s">
        <v>47</v>
      </c>
      <c r="C40" s="20">
        <v>53333.957900000001</v>
      </c>
      <c r="D40" s="18">
        <v>1E-4</v>
      </c>
      <c r="E40">
        <f t="shared" si="0"/>
        <v>10994.125478458769</v>
      </c>
      <c r="F40">
        <f t="shared" si="1"/>
        <v>10994</v>
      </c>
      <c r="G40">
        <f t="shared" si="5"/>
        <v>0.19220379999751458</v>
      </c>
      <c r="K40">
        <f>G40</f>
        <v>0.19220379999751458</v>
      </c>
      <c r="O40">
        <f t="shared" ca="1" si="6"/>
        <v>0.19660876234185412</v>
      </c>
      <c r="Q40" s="2">
        <f t="shared" si="2"/>
        <v>38315.457900000001</v>
      </c>
    </row>
    <row r="41" spans="1:33">
      <c r="A41" s="15" t="s">
        <v>53</v>
      </c>
      <c r="B41" s="16"/>
      <c r="C41" s="18">
        <v>53672.478900000002</v>
      </c>
      <c r="D41" s="18">
        <v>2.9999999999999997E-4</v>
      </c>
      <c r="E41">
        <f t="shared" si="0"/>
        <v>11215.125757025886</v>
      </c>
      <c r="F41">
        <f t="shared" si="1"/>
        <v>11215</v>
      </c>
      <c r="G41">
        <f t="shared" si="5"/>
        <v>0.19263049999426585</v>
      </c>
      <c r="J41">
        <f>G41</f>
        <v>0.19263049999426585</v>
      </c>
      <c r="O41">
        <f t="shared" ca="1" si="6"/>
        <v>0.19658486879417106</v>
      </c>
      <c r="Q41" s="2">
        <f t="shared" si="2"/>
        <v>38653.978900000002</v>
      </c>
    </row>
    <row r="42" spans="1:33">
      <c r="A42" s="15" t="s">
        <v>53</v>
      </c>
      <c r="B42" s="16"/>
      <c r="C42" s="18">
        <v>53715.364699999998</v>
      </c>
      <c r="D42" s="18">
        <v>2.8999999999999998E-3</v>
      </c>
      <c r="E42">
        <f t="shared" si="0"/>
        <v>11243.123351699696</v>
      </c>
      <c r="F42">
        <f t="shared" si="1"/>
        <v>11243</v>
      </c>
      <c r="G42">
        <f t="shared" si="5"/>
        <v>0.18894609999551903</v>
      </c>
      <c r="J42">
        <f>G42</f>
        <v>0.18894609999551903</v>
      </c>
      <c r="O42">
        <f t="shared" ca="1" si="6"/>
        <v>0.19658184155736053</v>
      </c>
      <c r="Q42" s="2">
        <f t="shared" si="2"/>
        <v>38696.864699999998</v>
      </c>
    </row>
    <row r="43" spans="1:33">
      <c r="A43" s="34" t="s">
        <v>61</v>
      </c>
      <c r="B43" s="35"/>
      <c r="C43" s="36">
        <v>54093.715900000003</v>
      </c>
      <c r="D43" s="36">
        <v>2.0000000000000001E-4</v>
      </c>
      <c r="E43" s="37">
        <f t="shared" si="0"/>
        <v>11490.126404970259</v>
      </c>
      <c r="F43">
        <f t="shared" si="1"/>
        <v>11490</v>
      </c>
      <c r="G43">
        <f t="shared" si="5"/>
        <v>0.19362299999920651</v>
      </c>
      <c r="K43">
        <f t="shared" ref="K43:K64" si="7">G43</f>
        <v>0.19362299999920651</v>
      </c>
      <c r="O43">
        <f t="shared" ca="1" si="6"/>
        <v>0.19655513700406768</v>
      </c>
      <c r="Q43" s="2">
        <f t="shared" si="2"/>
        <v>39075.215900000003</v>
      </c>
    </row>
    <row r="44" spans="1:33">
      <c r="A44" s="58" t="s">
        <v>181</v>
      </c>
      <c r="B44" s="60" t="s">
        <v>47</v>
      </c>
      <c r="C44" s="59">
        <v>54438.365400000002</v>
      </c>
      <c r="D44" s="17"/>
      <c r="E44" s="44">
        <f t="shared" si="0"/>
        <v>11715.127617621814</v>
      </c>
      <c r="F44">
        <f t="shared" si="1"/>
        <v>11715</v>
      </c>
      <c r="G44">
        <f t="shared" si="5"/>
        <v>0.19548049999866635</v>
      </c>
      <c r="K44">
        <f t="shared" si="7"/>
        <v>0.19548049999866635</v>
      </c>
      <c r="O44">
        <f t="shared" ca="1" si="6"/>
        <v>0.19653081099398312</v>
      </c>
      <c r="Q44" s="2">
        <f t="shared" si="2"/>
        <v>39419.865400000002</v>
      </c>
    </row>
    <row r="45" spans="1:33">
      <c r="A45" s="34" t="s">
        <v>64</v>
      </c>
      <c r="B45" s="35"/>
      <c r="C45" s="36">
        <v>54793.734900000003</v>
      </c>
      <c r="D45" s="36">
        <v>2.9999999999999997E-4</v>
      </c>
      <c r="E45" s="37">
        <f t="shared" si="0"/>
        <v>11947.127282322843</v>
      </c>
      <c r="F45">
        <f t="shared" si="1"/>
        <v>11947</v>
      </c>
      <c r="G45">
        <f t="shared" si="5"/>
        <v>0.19496689999505179</v>
      </c>
      <c r="K45">
        <f t="shared" si="7"/>
        <v>0.19496689999505179</v>
      </c>
      <c r="O45">
        <f t="shared" ca="1" si="6"/>
        <v>0.19650572817469592</v>
      </c>
      <c r="Q45" s="2">
        <f t="shared" si="2"/>
        <v>39775.234900000003</v>
      </c>
    </row>
    <row r="46" spans="1:33">
      <c r="A46" s="36" t="s">
        <v>63</v>
      </c>
      <c r="B46" s="35" t="s">
        <v>47</v>
      </c>
      <c r="C46" s="36">
        <v>54862.667800000003</v>
      </c>
      <c r="D46" s="36">
        <v>4.0000000000000002E-4</v>
      </c>
      <c r="E46" s="37">
        <f t="shared" si="0"/>
        <v>11992.129483375184</v>
      </c>
      <c r="F46">
        <f t="shared" si="1"/>
        <v>11992</v>
      </c>
      <c r="G46">
        <f t="shared" si="5"/>
        <v>0.19833839999773772</v>
      </c>
      <c r="K46">
        <f t="shared" si="7"/>
        <v>0.19833839999773772</v>
      </c>
      <c r="O46">
        <f t="shared" ca="1" si="6"/>
        <v>0.19650086297267899</v>
      </c>
      <c r="Q46" s="2">
        <f t="shared" si="2"/>
        <v>39844.167800000003</v>
      </c>
    </row>
    <row r="47" spans="1:33">
      <c r="A47" s="38" t="s">
        <v>67</v>
      </c>
      <c r="B47" s="35" t="s">
        <v>47</v>
      </c>
      <c r="C47" s="36">
        <v>55181.273569999998</v>
      </c>
      <c r="D47" s="36">
        <v>1.8E-3</v>
      </c>
      <c r="E47" s="37">
        <f t="shared" si="0"/>
        <v>12200.128289721288</v>
      </c>
      <c r="F47">
        <f t="shared" si="1"/>
        <v>12200</v>
      </c>
      <c r="G47">
        <f t="shared" si="5"/>
        <v>0.19650999999430496</v>
      </c>
      <c r="K47">
        <f t="shared" si="7"/>
        <v>0.19650999999430496</v>
      </c>
      <c r="O47">
        <f t="shared" ca="1" si="6"/>
        <v>0.19647837492780082</v>
      </c>
      <c r="Q47" s="2">
        <f t="shared" si="2"/>
        <v>40162.773569999998</v>
      </c>
    </row>
    <row r="48" spans="1:33">
      <c r="A48" s="38" t="s">
        <v>67</v>
      </c>
      <c r="B48" s="35" t="s">
        <v>47</v>
      </c>
      <c r="C48" s="36">
        <v>55253.265820000001</v>
      </c>
      <c r="D48" s="36">
        <v>2.0000000000000001E-4</v>
      </c>
      <c r="E48" s="37">
        <f t="shared" si="0"/>
        <v>12247.127758896535</v>
      </c>
      <c r="F48">
        <f t="shared" si="1"/>
        <v>12247</v>
      </c>
      <c r="G48">
        <f t="shared" si="5"/>
        <v>0.19569689999480033</v>
      </c>
      <c r="K48">
        <f t="shared" si="7"/>
        <v>0.19569689999480033</v>
      </c>
      <c r="O48">
        <f t="shared" ca="1" si="6"/>
        <v>0.19647329349458315</v>
      </c>
      <c r="Q48" s="2">
        <f t="shared" si="2"/>
        <v>40234.765820000001</v>
      </c>
    </row>
    <row r="49" spans="1:17">
      <c r="A49" s="39" t="s">
        <v>69</v>
      </c>
      <c r="B49" s="40" t="s">
        <v>47</v>
      </c>
      <c r="C49" s="39">
        <v>55305.346100000002</v>
      </c>
      <c r="D49" s="39">
        <v>5.0000000000000001E-4</v>
      </c>
      <c r="E49" s="37">
        <f t="shared" si="0"/>
        <v>12281.127884111378</v>
      </c>
      <c r="F49">
        <f t="shared" si="1"/>
        <v>12281</v>
      </c>
      <c r="G49">
        <f t="shared" si="5"/>
        <v>0.19588870000006864</v>
      </c>
      <c r="K49">
        <f t="shared" si="7"/>
        <v>0.19588870000006864</v>
      </c>
      <c r="O49">
        <f t="shared" ca="1" si="6"/>
        <v>0.19646961756417036</v>
      </c>
      <c r="Q49" s="2">
        <f t="shared" si="2"/>
        <v>40286.846100000002</v>
      </c>
    </row>
    <row r="50" spans="1:17">
      <c r="A50" s="38" t="s">
        <v>67</v>
      </c>
      <c r="B50" s="35" t="s">
        <v>47</v>
      </c>
      <c r="C50" s="36">
        <v>55305.346949999999</v>
      </c>
      <c r="D50" s="36">
        <v>2.9999999999999997E-4</v>
      </c>
      <c r="E50" s="37">
        <f t="shared" si="0"/>
        <v>12281.128439025952</v>
      </c>
      <c r="F50">
        <f t="shared" si="1"/>
        <v>12281</v>
      </c>
      <c r="G50">
        <f t="shared" si="5"/>
        <v>0.19673869999678573</v>
      </c>
      <c r="K50">
        <f t="shared" si="7"/>
        <v>0.19673869999678573</v>
      </c>
      <c r="O50">
        <f t="shared" ca="1" si="6"/>
        <v>0.19646961756417036</v>
      </c>
      <c r="Q50" s="2">
        <f t="shared" si="2"/>
        <v>40286.846949999999</v>
      </c>
    </row>
    <row r="51" spans="1:17">
      <c r="A51" s="39" t="s">
        <v>68</v>
      </c>
      <c r="B51" s="40" t="s">
        <v>47</v>
      </c>
      <c r="C51" s="39">
        <v>55582.595800000003</v>
      </c>
      <c r="D51" s="39">
        <v>5.0000000000000001E-4</v>
      </c>
      <c r="E51" s="37">
        <f t="shared" si="0"/>
        <v>12462.127765751364</v>
      </c>
      <c r="F51">
        <f t="shared" si="1"/>
        <v>12462</v>
      </c>
      <c r="G51">
        <f t="shared" si="5"/>
        <v>0.19570740000199294</v>
      </c>
      <c r="K51">
        <f t="shared" si="7"/>
        <v>0.19570740000199294</v>
      </c>
      <c r="O51">
        <f t="shared" ca="1" si="6"/>
        <v>0.19645004864050233</v>
      </c>
      <c r="Q51" s="2">
        <f t="shared" si="2"/>
        <v>40564.095800000003</v>
      </c>
    </row>
    <row r="52" spans="1:17">
      <c r="A52" s="43" t="s">
        <v>72</v>
      </c>
      <c r="B52" s="42"/>
      <c r="C52" s="43">
        <v>55616.294549999999</v>
      </c>
      <c r="D52" s="43">
        <v>1.4999999999999999E-4</v>
      </c>
      <c r="E52" s="44">
        <f t="shared" si="0"/>
        <v>12484.127680490368</v>
      </c>
      <c r="F52">
        <f t="shared" si="1"/>
        <v>12484</v>
      </c>
      <c r="G52">
        <f t="shared" si="5"/>
        <v>0.19557679999707034</v>
      </c>
      <c r="K52">
        <f t="shared" si="7"/>
        <v>0.19557679999707034</v>
      </c>
      <c r="O52">
        <f t="shared" ca="1" si="6"/>
        <v>0.19644767009729408</v>
      </c>
      <c r="Q52" s="2">
        <f t="shared" si="2"/>
        <v>40597.794549999999</v>
      </c>
    </row>
    <row r="53" spans="1:17">
      <c r="A53" s="41" t="s">
        <v>70</v>
      </c>
      <c r="B53" s="42" t="s">
        <v>47</v>
      </c>
      <c r="C53" s="43">
        <v>55642.334490000001</v>
      </c>
      <c r="D53" s="43">
        <v>2.0000000000000001E-4</v>
      </c>
      <c r="E53" s="44">
        <f t="shared" si="0"/>
        <v>12501.127612529655</v>
      </c>
      <c r="F53">
        <f t="shared" si="1"/>
        <v>12501</v>
      </c>
      <c r="G53">
        <f t="shared" si="5"/>
        <v>0.19547269999748096</v>
      </c>
      <c r="K53">
        <f t="shared" si="7"/>
        <v>0.19547269999748096</v>
      </c>
      <c r="O53">
        <f t="shared" ca="1" si="6"/>
        <v>0.19644583213208769</v>
      </c>
      <c r="Q53" s="2">
        <f t="shared" si="2"/>
        <v>40623.834490000001</v>
      </c>
    </row>
    <row r="54" spans="1:17">
      <c r="A54" s="41" t="s">
        <v>70</v>
      </c>
      <c r="B54" s="42" t="s">
        <v>47</v>
      </c>
      <c r="C54" s="43">
        <v>55642.334589999999</v>
      </c>
      <c r="D54" s="43">
        <v>2.0000000000000001E-4</v>
      </c>
      <c r="E54" s="44">
        <f t="shared" si="0"/>
        <v>12501.127677813722</v>
      </c>
      <c r="F54">
        <f t="shared" si="1"/>
        <v>12501</v>
      </c>
      <c r="G54">
        <f t="shared" si="5"/>
        <v>0.19557269999495475</v>
      </c>
      <c r="K54">
        <f t="shared" si="7"/>
        <v>0.19557269999495475</v>
      </c>
      <c r="O54">
        <f t="shared" ca="1" si="6"/>
        <v>0.19644583213208769</v>
      </c>
      <c r="Q54" s="2">
        <f t="shared" si="2"/>
        <v>40623.834589999999</v>
      </c>
    </row>
    <row r="55" spans="1:17">
      <c r="A55" s="41" t="s">
        <v>70</v>
      </c>
      <c r="B55" s="42" t="s">
        <v>47</v>
      </c>
      <c r="C55" s="43">
        <v>55956.347029999997</v>
      </c>
      <c r="D55" s="43">
        <v>2.0000000000000001E-4</v>
      </c>
      <c r="E55" s="44">
        <f t="shared" si="0"/>
        <v>12706.127771496358</v>
      </c>
      <c r="F55">
        <f t="shared" si="1"/>
        <v>12706</v>
      </c>
      <c r="G55">
        <f t="shared" si="5"/>
        <v>0.1957161999962409</v>
      </c>
      <c r="K55">
        <f t="shared" si="7"/>
        <v>0.1957161999962409</v>
      </c>
      <c r="O55">
        <f t="shared" ca="1" si="6"/>
        <v>0.19642366843401063</v>
      </c>
      <c r="Q55" s="2">
        <f t="shared" si="2"/>
        <v>40937.847029999997</v>
      </c>
    </row>
    <row r="56" spans="1:17">
      <c r="A56" s="41" t="s">
        <v>70</v>
      </c>
      <c r="B56" s="42" t="s">
        <v>71</v>
      </c>
      <c r="C56" s="43">
        <v>55969.367530000003</v>
      </c>
      <c r="D56" s="43">
        <v>5.0000000000000001E-4</v>
      </c>
      <c r="E56" s="44">
        <f t="shared" si="0"/>
        <v>12714.628083521564</v>
      </c>
      <c r="F56">
        <f t="shared" si="1"/>
        <v>12714.5</v>
      </c>
      <c r="G56">
        <f t="shared" si="5"/>
        <v>0.1961941499976092</v>
      </c>
      <c r="K56">
        <f t="shared" si="7"/>
        <v>0.1961941499976092</v>
      </c>
      <c r="O56">
        <f t="shared" ca="1" si="6"/>
        <v>0.19642274945140745</v>
      </c>
      <c r="Q56" s="2">
        <f t="shared" si="2"/>
        <v>40950.867530000003</v>
      </c>
    </row>
    <row r="57" spans="1:17">
      <c r="A57" s="41" t="s">
        <v>70</v>
      </c>
      <c r="B57" s="42" t="s">
        <v>47</v>
      </c>
      <c r="C57" s="43">
        <v>56002.300009999999</v>
      </c>
      <c r="D57" s="43">
        <v>2.0000000000000001E-4</v>
      </c>
      <c r="E57" s="44">
        <f t="shared" si="0"/>
        <v>12736.127746035572</v>
      </c>
      <c r="F57">
        <f t="shared" si="1"/>
        <v>12736</v>
      </c>
      <c r="G57">
        <f t="shared" si="5"/>
        <v>0.19567719999031397</v>
      </c>
      <c r="K57">
        <f t="shared" si="7"/>
        <v>0.19567719999031397</v>
      </c>
      <c r="O57">
        <f t="shared" ca="1" si="6"/>
        <v>0.19642042496599935</v>
      </c>
      <c r="Q57" s="2">
        <f t="shared" si="2"/>
        <v>40983.800009999999</v>
      </c>
    </row>
    <row r="58" spans="1:17">
      <c r="A58" s="41" t="s">
        <v>70</v>
      </c>
      <c r="B58" s="42" t="s">
        <v>47</v>
      </c>
      <c r="C58" s="43">
        <v>56002.300309999999</v>
      </c>
      <c r="D58" s="43">
        <v>2.9999999999999997E-4</v>
      </c>
      <c r="E58" s="44">
        <f t="shared" si="0"/>
        <v>12736.127941887775</v>
      </c>
      <c r="F58">
        <f t="shared" si="1"/>
        <v>12736</v>
      </c>
      <c r="G58">
        <f t="shared" si="5"/>
        <v>0.19597719999001129</v>
      </c>
      <c r="K58">
        <f t="shared" si="7"/>
        <v>0.19597719999001129</v>
      </c>
      <c r="O58">
        <f t="shared" ca="1" si="6"/>
        <v>0.19642042496599935</v>
      </c>
      <c r="Q58" s="2">
        <f t="shared" si="2"/>
        <v>40983.800309999999</v>
      </c>
    </row>
    <row r="59" spans="1:17">
      <c r="A59" s="41" t="s">
        <v>70</v>
      </c>
      <c r="B59" s="42" t="s">
        <v>47</v>
      </c>
      <c r="C59" s="43">
        <v>56002.301010000003</v>
      </c>
      <c r="D59" s="43">
        <v>2.0000000000000001E-4</v>
      </c>
      <c r="E59" s="44">
        <f t="shared" si="0"/>
        <v>12736.128398876252</v>
      </c>
      <c r="F59">
        <f t="shared" si="1"/>
        <v>12736</v>
      </c>
      <c r="G59">
        <f t="shared" si="5"/>
        <v>0.19667719999415567</v>
      </c>
      <c r="K59">
        <f t="shared" si="7"/>
        <v>0.19667719999415567</v>
      </c>
      <c r="O59">
        <f t="shared" ca="1" si="6"/>
        <v>0.19642042496599935</v>
      </c>
      <c r="Q59" s="2">
        <f t="shared" si="2"/>
        <v>40983.801010000003</v>
      </c>
    </row>
    <row r="60" spans="1:17">
      <c r="A60" s="43" t="s">
        <v>73</v>
      </c>
      <c r="B60" s="42" t="s">
        <v>47</v>
      </c>
      <c r="C60" s="63">
        <v>56630.326229999999</v>
      </c>
      <c r="D60" s="43">
        <v>1E-4</v>
      </c>
      <c r="E60" s="44">
        <f t="shared" si="0"/>
        <v>13146.128808207353</v>
      </c>
      <c r="F60">
        <f t="shared" si="1"/>
        <v>13146</v>
      </c>
      <c r="G60">
        <f t="shared" si="5"/>
        <v>0.19730419999541482</v>
      </c>
      <c r="K60">
        <f t="shared" si="7"/>
        <v>0.19730419999541482</v>
      </c>
      <c r="O60">
        <f t="shared" ca="1" si="6"/>
        <v>0.19637609756984525</v>
      </c>
      <c r="Q60" s="2">
        <f t="shared" si="2"/>
        <v>41611.826229999999</v>
      </c>
    </row>
    <row r="61" spans="1:17">
      <c r="A61" s="43" t="s">
        <v>73</v>
      </c>
      <c r="B61" s="42" t="s">
        <v>47</v>
      </c>
      <c r="C61" s="63">
        <v>56630.326679999998</v>
      </c>
      <c r="D61" s="43">
        <v>1E-4</v>
      </c>
      <c r="E61" s="44">
        <f t="shared" si="0"/>
        <v>13146.129101985656</v>
      </c>
      <c r="F61">
        <f t="shared" si="1"/>
        <v>13146</v>
      </c>
      <c r="G61">
        <f t="shared" si="5"/>
        <v>0.1977541999949608</v>
      </c>
      <c r="K61">
        <f t="shared" si="7"/>
        <v>0.1977541999949608</v>
      </c>
      <c r="O61">
        <f t="shared" ca="1" si="6"/>
        <v>0.19637609756984525</v>
      </c>
      <c r="Q61" s="2">
        <f t="shared" si="2"/>
        <v>41611.826679999998</v>
      </c>
    </row>
    <row r="62" spans="1:17">
      <c r="A62" s="64" t="s">
        <v>234</v>
      </c>
      <c r="B62" s="65" t="s">
        <v>47</v>
      </c>
      <c r="C62" s="66">
        <v>57036.245580000003</v>
      </c>
      <c r="D62" s="66">
        <v>2.9999999999999997E-4</v>
      </c>
      <c r="E62" s="44">
        <f>+(C62-C$7)/C$8</f>
        <v>13411.129471167062</v>
      </c>
      <c r="F62">
        <f t="shared" si="1"/>
        <v>13411</v>
      </c>
      <c r="G62">
        <f>+C62-(C$7+F62*C$8)</f>
        <v>0.19831969999358989</v>
      </c>
      <c r="K62">
        <f t="shared" si="7"/>
        <v>0.19831969999358989</v>
      </c>
      <c r="O62">
        <f ca="1">+C$11+C$12*$F62</f>
        <v>0.19634744693574566</v>
      </c>
      <c r="Q62" s="2">
        <f>+C62-15018.5</f>
        <v>42017.745580000003</v>
      </c>
    </row>
    <row r="63" spans="1:17">
      <c r="A63" s="64" t="s">
        <v>234</v>
      </c>
      <c r="B63" s="65" t="s">
        <v>47</v>
      </c>
      <c r="C63" s="66">
        <v>57036.246200000001</v>
      </c>
      <c r="D63" s="66">
        <v>2.0000000000000001E-4</v>
      </c>
      <c r="E63" s="44">
        <f>+(C63-C$7)/C$8</f>
        <v>13411.12987592828</v>
      </c>
      <c r="F63">
        <f t="shared" si="1"/>
        <v>13411</v>
      </c>
      <c r="G63">
        <f>+C63-(C$7+F63*C$8)</f>
        <v>0.19893969999247929</v>
      </c>
      <c r="K63">
        <f t="shared" si="7"/>
        <v>0.19893969999247929</v>
      </c>
      <c r="O63">
        <f ca="1">+C$11+C$12*$F63</f>
        <v>0.19634744693574566</v>
      </c>
      <c r="Q63" s="2">
        <f>+C63-15018.5</f>
        <v>42017.746200000001</v>
      </c>
    </row>
    <row r="64" spans="1:17">
      <c r="A64" s="64" t="s">
        <v>234</v>
      </c>
      <c r="B64" s="65" t="s">
        <v>47</v>
      </c>
      <c r="C64" s="66">
        <v>57036.246249999997</v>
      </c>
      <c r="D64" s="66">
        <v>2.0000000000000001E-4</v>
      </c>
      <c r="E64" s="44">
        <f>+(C64-C$7)/C$8</f>
        <v>13411.12990857031</v>
      </c>
      <c r="F64">
        <f t="shared" si="1"/>
        <v>13411</v>
      </c>
      <c r="G64">
        <f>+C64-(C$7+F64*C$8)</f>
        <v>0.19898969998757821</v>
      </c>
      <c r="K64">
        <f t="shared" si="7"/>
        <v>0.19898969998757821</v>
      </c>
      <c r="O64">
        <f ca="1">+C$11+C$12*$F64</f>
        <v>0.19634744693574566</v>
      </c>
      <c r="Q64" s="2">
        <f>+C64-15018.5</f>
        <v>42017.746249999997</v>
      </c>
    </row>
    <row r="65" spans="1:17">
      <c r="A65" s="67" t="s">
        <v>0</v>
      </c>
      <c r="B65" s="68" t="s">
        <v>47</v>
      </c>
      <c r="C65" s="67">
        <v>57443.696300000003</v>
      </c>
      <c r="D65" s="67">
        <v>1E-4</v>
      </c>
      <c r="E65" s="44">
        <f>+(C65-C$7)/C$8</f>
        <v>13677.129874753169</v>
      </c>
      <c r="F65">
        <f t="shared" si="1"/>
        <v>13677</v>
      </c>
      <c r="G65">
        <f>+C65-(C$7+F65*C$8)</f>
        <v>0.19893790000060108</v>
      </c>
      <c r="K65">
        <f>G65</f>
        <v>0.19893790000060108</v>
      </c>
      <c r="O65">
        <f ca="1">+C$11+C$12*$F65</f>
        <v>0.19631868818604567</v>
      </c>
      <c r="Q65" s="2">
        <f>+C65-15018.5</f>
        <v>42425.196300000003</v>
      </c>
    </row>
    <row r="66" spans="1:17">
      <c r="A66" s="69" t="s">
        <v>235</v>
      </c>
      <c r="B66" s="70" t="s">
        <v>47</v>
      </c>
      <c r="C66" s="71">
        <v>59245.046899999958</v>
      </c>
      <c r="D66" s="69" t="s">
        <v>84</v>
      </c>
      <c r="E66" s="44">
        <f>+(C66-C$7)/C$8</f>
        <v>14853.124818632668</v>
      </c>
      <c r="F66">
        <f t="shared" ref="F66" si="8">ROUND(2*E66,0)/2</f>
        <v>14853</v>
      </c>
      <c r="G66">
        <f>+C66-(C$7+F66*C$8)</f>
        <v>0.19119309994857758</v>
      </c>
      <c r="K66">
        <f>G66</f>
        <v>0.19119309994857758</v>
      </c>
      <c r="O66">
        <f ca="1">+C$11+C$12*$F66</f>
        <v>0.19619154424000365</v>
      </c>
      <c r="Q66" s="2">
        <f>+C66-15018.5</f>
        <v>44226.546899999958</v>
      </c>
    </row>
  </sheetData>
  <phoneticPr fontId="8" type="noConversion"/>
  <hyperlinks>
    <hyperlink ref="H62797" r:id="rId1" display="http://vsolj.cetus-net.org/bulletin.html"/>
    <hyperlink ref="H62790" r:id="rId2" display="https://www.aavso.org/ejaavso"/>
    <hyperlink ref="I62797" r:id="rId3" display="http://vsolj.cetus-net.org/bulletin.html"/>
    <hyperlink ref="AQ56448" r:id="rId4" display="http://cdsbib.u-strasbg.fr/cgi-bin/cdsbib?1990RMxAA..21..381G"/>
    <hyperlink ref="H62794" r:id="rId5" display="https://www.aavso.org/ejaavso"/>
    <hyperlink ref="AP3812" r:id="rId6" display="http://cdsbib.u-strasbg.fr/cgi-bin/cdsbib?1990RMxAA..21..381G"/>
    <hyperlink ref="AP3815" r:id="rId7" display="http://cdsbib.u-strasbg.fr/cgi-bin/cdsbib?1990RMxAA..21..381G"/>
    <hyperlink ref="AP3813" r:id="rId8" display="http://cdsbib.u-strasbg.fr/cgi-bin/cdsbib?1990RMxAA..21..381G"/>
    <hyperlink ref="AP3797" r:id="rId9" display="http://cdsbib.u-strasbg.fr/cgi-bin/cdsbib?1990RMxAA..21..381G"/>
    <hyperlink ref="AQ4026" r:id="rId10" display="http://cdsbib.u-strasbg.fr/cgi-bin/cdsbib?1990RMxAA..21..381G"/>
    <hyperlink ref="AQ4030" r:id="rId11" display="http://cdsbib.u-strasbg.fr/cgi-bin/cdsbib?1990RMxAA..21..381G"/>
    <hyperlink ref="AQ63710" r:id="rId12" display="http://cdsbib.u-strasbg.fr/cgi-bin/cdsbib?1990RMxAA..21..381G"/>
    <hyperlink ref="I918" r:id="rId13" display="http://vsolj.cetus-net.org/bulletin.html"/>
    <hyperlink ref="H918" r:id="rId14" display="http://vsolj.cetus-net.org/bulletin.html"/>
    <hyperlink ref="AQ64371" r:id="rId15" display="http://cdsbib.u-strasbg.fr/cgi-bin/cdsbib?1990RMxAA..21..381G"/>
    <hyperlink ref="AQ64370" r:id="rId16" display="http://cdsbib.u-strasbg.fr/cgi-bin/cdsbib?1990RMxAA..21..381G"/>
    <hyperlink ref="AP2088" r:id="rId17" display="http://cdsbib.u-strasbg.fr/cgi-bin/cdsbib?1990RMxAA..21..381G"/>
    <hyperlink ref="AP2106" r:id="rId18" display="http://cdsbib.u-strasbg.fr/cgi-bin/cdsbib?1990RMxAA..21..381G"/>
    <hyperlink ref="AP2107" r:id="rId19" display="http://cdsbib.u-strasbg.fr/cgi-bin/cdsbib?1990RMxAA..21..381G"/>
    <hyperlink ref="AP210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7"/>
  <sheetViews>
    <sheetView workbookViewId="0">
      <selection activeCell="A42" sqref="A42:C46"/>
    </sheetView>
  </sheetViews>
  <sheetFormatPr defaultRowHeight="12.75"/>
  <cols>
    <col min="1" max="1" width="19.7109375" style="17" customWidth="1"/>
    <col min="2" max="2" width="4.42578125" style="15" customWidth="1"/>
    <col min="3" max="3" width="12.7109375" style="1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5" t="s">
        <v>75</v>
      </c>
      <c r="I1" s="46" t="s">
        <v>76</v>
      </c>
      <c r="J1" s="47" t="s">
        <v>77</v>
      </c>
    </row>
    <row r="2" spans="1:16">
      <c r="I2" s="48" t="s">
        <v>78</v>
      </c>
      <c r="J2" s="49" t="s">
        <v>79</v>
      </c>
    </row>
    <row r="3" spans="1:16">
      <c r="A3" s="50" t="s">
        <v>80</v>
      </c>
      <c r="I3" s="48" t="s">
        <v>81</v>
      </c>
      <c r="J3" s="49" t="s">
        <v>82</v>
      </c>
    </row>
    <row r="4" spans="1:16">
      <c r="I4" s="48" t="s">
        <v>83</v>
      </c>
      <c r="J4" s="49" t="s">
        <v>82</v>
      </c>
    </row>
    <row r="5" spans="1:16" ht="13.5" thickBot="1">
      <c r="I5" s="51" t="s">
        <v>84</v>
      </c>
      <c r="J5" s="52" t="s">
        <v>85</v>
      </c>
    </row>
    <row r="10" spans="1:16" ht="13.5" thickBot="1"/>
    <row r="11" spans="1:16" ht="12.75" customHeight="1" thickBot="1">
      <c r="A11" s="17" t="str">
        <f t="shared" ref="A11:A46" si="0">P11</f>
        <v> GCVS 1985 </v>
      </c>
      <c r="B11" s="5" t="str">
        <f t="shared" ref="B11:B46" si="1">IF(H11=INT(H11),"I","II")</f>
        <v>I</v>
      </c>
      <c r="C11" s="17">
        <f t="shared" ref="C11:C46" si="2">1*G11</f>
        <v>36493.516000000003</v>
      </c>
      <c r="D11" s="15" t="str">
        <f t="shared" ref="D11:D46" si="3">VLOOKUP(F11,I$1:J$5,2,FALSE)</f>
        <v>vis</v>
      </c>
      <c r="E11" s="53">
        <f>VLOOKUP(C11,Active!C$21:E$969,3,FALSE)</f>
        <v>0</v>
      </c>
      <c r="F11" s="5" t="s">
        <v>84</v>
      </c>
      <c r="G11" s="15" t="str">
        <f t="shared" ref="G11:G46" si="4">MID(I11,3,LEN(I11)-3)</f>
        <v>36493.516</v>
      </c>
      <c r="H11" s="17">
        <f t="shared" ref="H11:H46" si="5">1*K11</f>
        <v>0</v>
      </c>
      <c r="I11" s="54" t="s">
        <v>87</v>
      </c>
      <c r="J11" s="55" t="s">
        <v>88</v>
      </c>
      <c r="K11" s="54">
        <v>0</v>
      </c>
      <c r="L11" s="54" t="s">
        <v>89</v>
      </c>
      <c r="M11" s="55" t="s">
        <v>86</v>
      </c>
      <c r="N11" s="55"/>
      <c r="O11" s="56" t="s">
        <v>90</v>
      </c>
      <c r="P11" s="56" t="s">
        <v>91</v>
      </c>
    </row>
    <row r="12" spans="1:16" ht="12.75" customHeight="1" thickBot="1">
      <c r="A12" s="17" t="str">
        <f t="shared" si="0"/>
        <v> BBS 32/117 </v>
      </c>
      <c r="B12" s="5" t="str">
        <f t="shared" si="1"/>
        <v>I</v>
      </c>
      <c r="C12" s="17">
        <f t="shared" si="2"/>
        <v>43161.288999999997</v>
      </c>
      <c r="D12" s="15" t="str">
        <f t="shared" si="3"/>
        <v>vis</v>
      </c>
      <c r="E12" s="53">
        <f>VLOOKUP(C12,Active!C$21:E$969,3,FALSE)</f>
        <v>4352.9934344465992</v>
      </c>
      <c r="F12" s="5" t="s">
        <v>84</v>
      </c>
      <c r="G12" s="15" t="str">
        <f t="shared" si="4"/>
        <v>43161.289</v>
      </c>
      <c r="H12" s="17">
        <f t="shared" si="5"/>
        <v>4353</v>
      </c>
      <c r="I12" s="54" t="s">
        <v>92</v>
      </c>
      <c r="J12" s="55" t="s">
        <v>93</v>
      </c>
      <c r="K12" s="54">
        <v>4353</v>
      </c>
      <c r="L12" s="54" t="s">
        <v>94</v>
      </c>
      <c r="M12" s="55" t="s">
        <v>95</v>
      </c>
      <c r="N12" s="55"/>
      <c r="O12" s="56" t="s">
        <v>96</v>
      </c>
      <c r="P12" s="56" t="s">
        <v>97</v>
      </c>
    </row>
    <row r="13" spans="1:16" ht="12.75" customHeight="1" thickBot="1">
      <c r="A13" s="17" t="str">
        <f t="shared" si="0"/>
        <v> BBS 76/117 </v>
      </c>
      <c r="B13" s="5" t="str">
        <f t="shared" si="1"/>
        <v>I</v>
      </c>
      <c r="C13" s="17">
        <f t="shared" si="2"/>
        <v>46128.309000000001</v>
      </c>
      <c r="D13" s="15" t="str">
        <f t="shared" si="3"/>
        <v>vis</v>
      </c>
      <c r="E13" s="53">
        <f>VLOOKUP(C13,Active!C$21:E$969,3,FALSE)</f>
        <v>6289.9847777139503</v>
      </c>
      <c r="F13" s="5" t="s">
        <v>84</v>
      </c>
      <c r="G13" s="15" t="str">
        <f t="shared" si="4"/>
        <v>46128.309</v>
      </c>
      <c r="H13" s="17">
        <f t="shared" si="5"/>
        <v>6290</v>
      </c>
      <c r="I13" s="54" t="s">
        <v>98</v>
      </c>
      <c r="J13" s="55" t="s">
        <v>99</v>
      </c>
      <c r="K13" s="54">
        <v>6290</v>
      </c>
      <c r="L13" s="54" t="s">
        <v>100</v>
      </c>
      <c r="M13" s="55" t="s">
        <v>95</v>
      </c>
      <c r="N13" s="55"/>
      <c r="O13" s="56" t="s">
        <v>101</v>
      </c>
      <c r="P13" s="56" t="s">
        <v>102</v>
      </c>
    </row>
    <row r="14" spans="1:16" ht="12.75" customHeight="1" thickBot="1">
      <c r="A14" s="17" t="str">
        <f t="shared" si="0"/>
        <v> BBS 91/117 </v>
      </c>
      <c r="B14" s="5" t="str">
        <f t="shared" si="1"/>
        <v>I</v>
      </c>
      <c r="C14" s="17">
        <f t="shared" si="2"/>
        <v>47554.375</v>
      </c>
      <c r="D14" s="15" t="str">
        <f t="shared" si="3"/>
        <v>vis</v>
      </c>
      <c r="E14" s="53">
        <f>VLOOKUP(C14,Active!C$21:E$969,3,FALSE)</f>
        <v>7220.9786695407302</v>
      </c>
      <c r="F14" s="5" t="s">
        <v>84</v>
      </c>
      <c r="G14" s="15" t="str">
        <f t="shared" si="4"/>
        <v>47554.375</v>
      </c>
      <c r="H14" s="17">
        <f t="shared" si="5"/>
        <v>7221</v>
      </c>
      <c r="I14" s="54" t="s">
        <v>103</v>
      </c>
      <c r="J14" s="55" t="s">
        <v>104</v>
      </c>
      <c r="K14" s="54">
        <v>7221</v>
      </c>
      <c r="L14" s="54" t="s">
        <v>105</v>
      </c>
      <c r="M14" s="55" t="s">
        <v>95</v>
      </c>
      <c r="N14" s="55"/>
      <c r="O14" s="56" t="s">
        <v>106</v>
      </c>
      <c r="P14" s="56" t="s">
        <v>107</v>
      </c>
    </row>
    <row r="15" spans="1:16" ht="12.75" customHeight="1" thickBot="1">
      <c r="A15" s="17" t="str">
        <f t="shared" si="0"/>
        <v> BRNO 30 </v>
      </c>
      <c r="B15" s="5" t="str">
        <f t="shared" si="1"/>
        <v>I</v>
      </c>
      <c r="C15" s="17">
        <f t="shared" si="2"/>
        <v>47571.404000000002</v>
      </c>
      <c r="D15" s="15" t="str">
        <f t="shared" si="3"/>
        <v>vis</v>
      </c>
      <c r="E15" s="53">
        <f>VLOOKUP(C15,Active!C$21:E$969,3,FALSE)</f>
        <v>7232.0958934167083</v>
      </c>
      <c r="F15" s="5" t="s">
        <v>84</v>
      </c>
      <c r="G15" s="15" t="str">
        <f t="shared" si="4"/>
        <v>47571.404</v>
      </c>
      <c r="H15" s="17">
        <f t="shared" si="5"/>
        <v>7232</v>
      </c>
      <c r="I15" s="54" t="s">
        <v>108</v>
      </c>
      <c r="J15" s="55" t="s">
        <v>109</v>
      </c>
      <c r="K15" s="54">
        <v>7232</v>
      </c>
      <c r="L15" s="54" t="s">
        <v>110</v>
      </c>
      <c r="M15" s="55" t="s">
        <v>95</v>
      </c>
      <c r="N15" s="55"/>
      <c r="O15" s="56" t="s">
        <v>111</v>
      </c>
      <c r="P15" s="56" t="s">
        <v>112</v>
      </c>
    </row>
    <row r="16" spans="1:16" ht="12.75" customHeight="1" thickBot="1">
      <c r="A16" s="17" t="str">
        <f t="shared" si="0"/>
        <v> BRNO 30 </v>
      </c>
      <c r="B16" s="5" t="str">
        <f t="shared" si="1"/>
        <v>I</v>
      </c>
      <c r="C16" s="17">
        <f t="shared" si="2"/>
        <v>47859.375999999997</v>
      </c>
      <c r="D16" s="15" t="str">
        <f t="shared" si="3"/>
        <v>vis</v>
      </c>
      <c r="E16" s="53">
        <f>VLOOKUP(C16,Active!C$21:E$969,3,FALSE)</f>
        <v>7420.0957286397179</v>
      </c>
      <c r="F16" s="5" t="s">
        <v>84</v>
      </c>
      <c r="G16" s="15" t="str">
        <f t="shared" si="4"/>
        <v>47859.376</v>
      </c>
      <c r="H16" s="17">
        <f t="shared" si="5"/>
        <v>7420</v>
      </c>
      <c r="I16" s="54" t="s">
        <v>113</v>
      </c>
      <c r="J16" s="55" t="s">
        <v>114</v>
      </c>
      <c r="K16" s="54">
        <v>7420</v>
      </c>
      <c r="L16" s="54" t="s">
        <v>110</v>
      </c>
      <c r="M16" s="55" t="s">
        <v>95</v>
      </c>
      <c r="N16" s="55"/>
      <c r="O16" s="56" t="s">
        <v>115</v>
      </c>
      <c r="P16" s="56" t="s">
        <v>112</v>
      </c>
    </row>
    <row r="17" spans="1:16" ht="12.75" customHeight="1" thickBot="1">
      <c r="A17" s="17" t="str">
        <f t="shared" si="0"/>
        <v> BRNO 31 </v>
      </c>
      <c r="B17" s="5" t="str">
        <f t="shared" si="1"/>
        <v>I</v>
      </c>
      <c r="C17" s="17">
        <f t="shared" si="2"/>
        <v>48156.55</v>
      </c>
      <c r="D17" s="15" t="str">
        <f t="shared" si="3"/>
        <v>vis</v>
      </c>
      <c r="E17" s="53">
        <f>VLOOKUP(C17,Active!C$21:E$969,3,FALSE)</f>
        <v>7614.1030037656501</v>
      </c>
      <c r="F17" s="5" t="s">
        <v>84</v>
      </c>
      <c r="G17" s="15" t="str">
        <f t="shared" si="4"/>
        <v>48156.550</v>
      </c>
      <c r="H17" s="17">
        <f t="shared" si="5"/>
        <v>7614</v>
      </c>
      <c r="I17" s="54" t="s">
        <v>116</v>
      </c>
      <c r="J17" s="55" t="s">
        <v>117</v>
      </c>
      <c r="K17" s="54">
        <v>7614</v>
      </c>
      <c r="L17" s="54" t="s">
        <v>118</v>
      </c>
      <c r="M17" s="55" t="s">
        <v>95</v>
      </c>
      <c r="N17" s="55"/>
      <c r="O17" s="56" t="s">
        <v>111</v>
      </c>
      <c r="P17" s="56" t="s">
        <v>119</v>
      </c>
    </row>
    <row r="18" spans="1:16" ht="12.75" customHeight="1" thickBot="1">
      <c r="A18" s="17" t="str">
        <f t="shared" si="0"/>
        <v> BRNO 31 </v>
      </c>
      <c r="B18" s="5" t="str">
        <f t="shared" si="1"/>
        <v>I</v>
      </c>
      <c r="C18" s="17">
        <f t="shared" si="2"/>
        <v>48222.404999999999</v>
      </c>
      <c r="D18" s="15" t="str">
        <f t="shared" si="3"/>
        <v>vis</v>
      </c>
      <c r="E18" s="53">
        <f>VLOOKUP(C18,Active!C$21:E$969,3,FALSE)</f>
        <v>7657.0958265005365</v>
      </c>
      <c r="F18" s="5" t="s">
        <v>84</v>
      </c>
      <c r="G18" s="15" t="str">
        <f t="shared" si="4"/>
        <v>48222.405</v>
      </c>
      <c r="H18" s="17">
        <f t="shared" si="5"/>
        <v>7657</v>
      </c>
      <c r="I18" s="54" t="s">
        <v>120</v>
      </c>
      <c r="J18" s="55" t="s">
        <v>121</v>
      </c>
      <c r="K18" s="54">
        <v>7657</v>
      </c>
      <c r="L18" s="54" t="s">
        <v>110</v>
      </c>
      <c r="M18" s="55" t="s">
        <v>95</v>
      </c>
      <c r="N18" s="55"/>
      <c r="O18" s="56" t="s">
        <v>115</v>
      </c>
      <c r="P18" s="56" t="s">
        <v>119</v>
      </c>
    </row>
    <row r="19" spans="1:16" ht="12.75" customHeight="1" thickBot="1">
      <c r="A19" s="17" t="str">
        <f t="shared" si="0"/>
        <v> BRNO 31 </v>
      </c>
      <c r="B19" s="5" t="str">
        <f t="shared" si="1"/>
        <v>I</v>
      </c>
      <c r="C19" s="17">
        <f t="shared" si="2"/>
        <v>48222.411</v>
      </c>
      <c r="D19" s="15" t="str">
        <f t="shared" si="3"/>
        <v>vis</v>
      </c>
      <c r="E19" s="53">
        <f>VLOOKUP(C19,Active!C$21:E$969,3,FALSE)</f>
        <v>7657.0997435445952</v>
      </c>
      <c r="F19" s="5" t="s">
        <v>84</v>
      </c>
      <c r="G19" s="15" t="str">
        <f t="shared" si="4"/>
        <v>48222.411</v>
      </c>
      <c r="H19" s="17">
        <f t="shared" si="5"/>
        <v>7657</v>
      </c>
      <c r="I19" s="54" t="s">
        <v>122</v>
      </c>
      <c r="J19" s="55" t="s">
        <v>123</v>
      </c>
      <c r="K19" s="54">
        <v>7657</v>
      </c>
      <c r="L19" s="54" t="s">
        <v>124</v>
      </c>
      <c r="M19" s="55" t="s">
        <v>95</v>
      </c>
      <c r="N19" s="55"/>
      <c r="O19" s="56" t="s">
        <v>111</v>
      </c>
      <c r="P19" s="56" t="s">
        <v>119</v>
      </c>
    </row>
    <row r="20" spans="1:16" ht="12.75" customHeight="1" thickBot="1">
      <c r="A20" s="17" t="str">
        <f t="shared" si="0"/>
        <v> BRNO 31 </v>
      </c>
      <c r="B20" s="5" t="str">
        <f t="shared" si="1"/>
        <v>I</v>
      </c>
      <c r="C20" s="17">
        <f t="shared" si="2"/>
        <v>48271.428999999996</v>
      </c>
      <c r="D20" s="15" t="str">
        <f t="shared" si="3"/>
        <v>vis</v>
      </c>
      <c r="E20" s="53">
        <f>VLOOKUP(C20,Active!C$21:E$969,3,FALSE)</f>
        <v>7689.1006878133467</v>
      </c>
      <c r="F20" s="5" t="s">
        <v>84</v>
      </c>
      <c r="G20" s="15" t="str">
        <f t="shared" si="4"/>
        <v>48271.429</v>
      </c>
      <c r="H20" s="17">
        <f t="shared" si="5"/>
        <v>7689</v>
      </c>
      <c r="I20" s="54" t="s">
        <v>125</v>
      </c>
      <c r="J20" s="55" t="s">
        <v>126</v>
      </c>
      <c r="K20" s="54">
        <v>7689</v>
      </c>
      <c r="L20" s="54" t="s">
        <v>127</v>
      </c>
      <c r="M20" s="55" t="s">
        <v>95</v>
      </c>
      <c r="N20" s="55"/>
      <c r="O20" s="56" t="s">
        <v>115</v>
      </c>
      <c r="P20" s="56" t="s">
        <v>119</v>
      </c>
    </row>
    <row r="21" spans="1:16" ht="12.75" customHeight="1" thickBot="1">
      <c r="A21" s="17" t="str">
        <f t="shared" si="0"/>
        <v> BBS 111/117 </v>
      </c>
      <c r="B21" s="5" t="str">
        <f t="shared" si="1"/>
        <v>I</v>
      </c>
      <c r="C21" s="17">
        <f t="shared" si="2"/>
        <v>50158.368000000002</v>
      </c>
      <c r="D21" s="15" t="str">
        <f t="shared" si="3"/>
        <v>vis</v>
      </c>
      <c r="E21" s="53">
        <f>VLOOKUP(C21,Active!C$21:E$969,3,FALSE)</f>
        <v>8920.9712206286149</v>
      </c>
      <c r="F21" s="5" t="s">
        <v>84</v>
      </c>
      <c r="G21" s="15" t="str">
        <f t="shared" si="4"/>
        <v>50158.368</v>
      </c>
      <c r="H21" s="17">
        <f t="shared" si="5"/>
        <v>8921</v>
      </c>
      <c r="I21" s="54" t="s">
        <v>132</v>
      </c>
      <c r="J21" s="55" t="s">
        <v>133</v>
      </c>
      <c r="K21" s="54">
        <v>8921</v>
      </c>
      <c r="L21" s="54" t="s">
        <v>134</v>
      </c>
      <c r="M21" s="55" t="s">
        <v>95</v>
      </c>
      <c r="N21" s="55"/>
      <c r="O21" s="56" t="s">
        <v>106</v>
      </c>
      <c r="P21" s="56" t="s">
        <v>135</v>
      </c>
    </row>
    <row r="22" spans="1:16" ht="12.75" customHeight="1" thickBot="1">
      <c r="A22" s="17" t="str">
        <f t="shared" si="0"/>
        <v> BBS 114/117 </v>
      </c>
      <c r="B22" s="5" t="str">
        <f t="shared" si="1"/>
        <v>I</v>
      </c>
      <c r="C22" s="17">
        <f t="shared" si="2"/>
        <v>50518.336000000003</v>
      </c>
      <c r="D22" s="15" t="str">
        <f t="shared" si="3"/>
        <v>vis</v>
      </c>
      <c r="E22" s="53">
        <f>VLOOKUP(C22,Active!C$21:E$969,3,FALSE)</f>
        <v>9155.9729731794105</v>
      </c>
      <c r="F22" s="5" t="s">
        <v>84</v>
      </c>
      <c r="G22" s="15" t="str">
        <f t="shared" si="4"/>
        <v>50518.336</v>
      </c>
      <c r="H22" s="17">
        <f t="shared" si="5"/>
        <v>9156</v>
      </c>
      <c r="I22" s="54" t="s">
        <v>136</v>
      </c>
      <c r="J22" s="55" t="s">
        <v>137</v>
      </c>
      <c r="K22" s="54">
        <v>9156</v>
      </c>
      <c r="L22" s="54" t="s">
        <v>138</v>
      </c>
      <c r="M22" s="55" t="s">
        <v>95</v>
      </c>
      <c r="N22" s="55"/>
      <c r="O22" s="56" t="s">
        <v>106</v>
      </c>
      <c r="P22" s="56" t="s">
        <v>139</v>
      </c>
    </row>
    <row r="23" spans="1:16" ht="12.75" customHeight="1" thickBot="1">
      <c r="A23" s="17" t="str">
        <f t="shared" si="0"/>
        <v> BBS 117 </v>
      </c>
      <c r="B23" s="5" t="str">
        <f t="shared" si="1"/>
        <v>I</v>
      </c>
      <c r="C23" s="17">
        <f t="shared" si="2"/>
        <v>50895.369899999998</v>
      </c>
      <c r="D23" s="15" t="str">
        <f t="shared" si="3"/>
        <v>vis</v>
      </c>
      <c r="E23" s="53">
        <f>VLOOKUP(C23,Active!C$21:E$969,3,FALSE)</f>
        <v>9402.1160394271337</v>
      </c>
      <c r="F23" s="5" t="s">
        <v>84</v>
      </c>
      <c r="G23" s="15" t="str">
        <f t="shared" si="4"/>
        <v>50895.3699</v>
      </c>
      <c r="H23" s="17">
        <f t="shared" si="5"/>
        <v>9402</v>
      </c>
      <c r="I23" s="54" t="s">
        <v>140</v>
      </c>
      <c r="J23" s="55" t="s">
        <v>141</v>
      </c>
      <c r="K23" s="54">
        <v>9402</v>
      </c>
      <c r="L23" s="54" t="s">
        <v>142</v>
      </c>
      <c r="M23" s="55" t="s">
        <v>143</v>
      </c>
      <c r="N23" s="55" t="s">
        <v>144</v>
      </c>
      <c r="O23" s="56" t="s">
        <v>96</v>
      </c>
      <c r="P23" s="56" t="s">
        <v>145</v>
      </c>
    </row>
    <row r="24" spans="1:16" ht="12.75" customHeight="1" thickBot="1">
      <c r="A24" s="17" t="str">
        <f t="shared" si="0"/>
        <v> BBS 120 </v>
      </c>
      <c r="B24" s="5" t="str">
        <f t="shared" si="1"/>
        <v>I</v>
      </c>
      <c r="C24" s="17">
        <f t="shared" si="2"/>
        <v>51255.341</v>
      </c>
      <c r="D24" s="15" t="str">
        <f t="shared" si="3"/>
        <v>vis</v>
      </c>
      <c r="E24" s="53">
        <f>VLOOKUP(C24,Active!C$21:E$969,3,FALSE)</f>
        <v>9637.1198157840263</v>
      </c>
      <c r="F24" s="5" t="s">
        <v>84</v>
      </c>
      <c r="G24" s="15" t="str">
        <f t="shared" si="4"/>
        <v>51255.341</v>
      </c>
      <c r="H24" s="17">
        <f t="shared" si="5"/>
        <v>9637</v>
      </c>
      <c r="I24" s="54" t="s">
        <v>146</v>
      </c>
      <c r="J24" s="55" t="s">
        <v>147</v>
      </c>
      <c r="K24" s="54">
        <v>9637</v>
      </c>
      <c r="L24" s="54" t="s">
        <v>148</v>
      </c>
      <c r="M24" s="55" t="s">
        <v>95</v>
      </c>
      <c r="N24" s="55"/>
      <c r="O24" s="56" t="s">
        <v>149</v>
      </c>
      <c r="P24" s="56" t="s">
        <v>150</v>
      </c>
    </row>
    <row r="25" spans="1:16" ht="12.75" customHeight="1" thickBot="1">
      <c r="A25" s="17" t="str">
        <f t="shared" si="0"/>
        <v> BRNO 32 </v>
      </c>
      <c r="B25" s="5" t="str">
        <f t="shared" si="1"/>
        <v>I</v>
      </c>
      <c r="C25" s="17">
        <f t="shared" si="2"/>
        <v>51555.564400000003</v>
      </c>
      <c r="D25" s="15" t="str">
        <f t="shared" si="3"/>
        <v>vis</v>
      </c>
      <c r="E25" s="53">
        <f>VLOOKUP(C25,Active!C$21:E$969,3,FALSE)</f>
        <v>9833.1178632681349</v>
      </c>
      <c r="F25" s="5" t="s">
        <v>84</v>
      </c>
      <c r="G25" s="15" t="str">
        <f t="shared" si="4"/>
        <v>51555.5644</v>
      </c>
      <c r="H25" s="17">
        <f t="shared" si="5"/>
        <v>9833</v>
      </c>
      <c r="I25" s="54" t="s">
        <v>151</v>
      </c>
      <c r="J25" s="55" t="s">
        <v>152</v>
      </c>
      <c r="K25" s="54">
        <v>9833</v>
      </c>
      <c r="L25" s="54" t="s">
        <v>153</v>
      </c>
      <c r="M25" s="55" t="s">
        <v>143</v>
      </c>
      <c r="N25" s="55" t="s">
        <v>144</v>
      </c>
      <c r="O25" s="56" t="s">
        <v>154</v>
      </c>
      <c r="P25" s="56" t="s">
        <v>131</v>
      </c>
    </row>
    <row r="26" spans="1:16" ht="12.75" customHeight="1" thickBot="1">
      <c r="A26" s="17" t="str">
        <f t="shared" si="0"/>
        <v>IBVS 5690 </v>
      </c>
      <c r="B26" s="5" t="str">
        <f t="shared" si="1"/>
        <v>I</v>
      </c>
      <c r="C26" s="17">
        <f t="shared" si="2"/>
        <v>53333.957900000001</v>
      </c>
      <c r="D26" s="15" t="str">
        <f t="shared" si="3"/>
        <v>vis</v>
      </c>
      <c r="E26" s="53">
        <f>VLOOKUP(C26,Active!C$21:E$969,3,FALSE)</f>
        <v>10994.125478458769</v>
      </c>
      <c r="F26" s="5" t="s">
        <v>84</v>
      </c>
      <c r="G26" s="15" t="str">
        <f t="shared" si="4"/>
        <v>53333.9579</v>
      </c>
      <c r="H26" s="17">
        <f t="shared" si="5"/>
        <v>10994</v>
      </c>
      <c r="I26" s="54" t="s">
        <v>155</v>
      </c>
      <c r="J26" s="55" t="s">
        <v>156</v>
      </c>
      <c r="K26" s="54">
        <v>10994</v>
      </c>
      <c r="L26" s="54" t="s">
        <v>157</v>
      </c>
      <c r="M26" s="55" t="s">
        <v>143</v>
      </c>
      <c r="N26" s="55" t="s">
        <v>144</v>
      </c>
      <c r="O26" s="56" t="s">
        <v>158</v>
      </c>
      <c r="P26" s="57" t="s">
        <v>159</v>
      </c>
    </row>
    <row r="27" spans="1:16" ht="12.75" customHeight="1" thickBot="1">
      <c r="A27" s="17" t="str">
        <f t="shared" si="0"/>
        <v>BAVM 178 </v>
      </c>
      <c r="B27" s="5" t="str">
        <f t="shared" si="1"/>
        <v>I</v>
      </c>
      <c r="C27" s="17">
        <f t="shared" si="2"/>
        <v>53672.478900000002</v>
      </c>
      <c r="D27" s="15" t="str">
        <f t="shared" si="3"/>
        <v>vis</v>
      </c>
      <c r="E27" s="53">
        <f>VLOOKUP(C27,Active!C$21:E$969,3,FALSE)</f>
        <v>11215.125757025886</v>
      </c>
      <c r="F27" s="5" t="s">
        <v>84</v>
      </c>
      <c r="G27" s="15" t="str">
        <f t="shared" si="4"/>
        <v>53672.4789</v>
      </c>
      <c r="H27" s="17">
        <f t="shared" si="5"/>
        <v>11215</v>
      </c>
      <c r="I27" s="54" t="s">
        <v>160</v>
      </c>
      <c r="J27" s="55" t="s">
        <v>161</v>
      </c>
      <c r="K27" s="54">
        <v>11215</v>
      </c>
      <c r="L27" s="54" t="s">
        <v>162</v>
      </c>
      <c r="M27" s="55" t="s">
        <v>163</v>
      </c>
      <c r="N27" s="55" t="s">
        <v>164</v>
      </c>
      <c r="O27" s="56" t="s">
        <v>165</v>
      </c>
      <c r="P27" s="57" t="s">
        <v>166</v>
      </c>
    </row>
    <row r="28" spans="1:16" ht="12.75" customHeight="1" thickBot="1">
      <c r="A28" s="17" t="str">
        <f t="shared" si="0"/>
        <v>BAVM 178 </v>
      </c>
      <c r="B28" s="5" t="str">
        <f t="shared" si="1"/>
        <v>I</v>
      </c>
      <c r="C28" s="17">
        <f t="shared" si="2"/>
        <v>53715.364699999998</v>
      </c>
      <c r="D28" s="15" t="str">
        <f t="shared" si="3"/>
        <v>vis</v>
      </c>
      <c r="E28" s="53">
        <f>VLOOKUP(C28,Active!C$21:E$969,3,FALSE)</f>
        <v>11243.123351699696</v>
      </c>
      <c r="F28" s="5" t="s">
        <v>84</v>
      </c>
      <c r="G28" s="15" t="str">
        <f t="shared" si="4"/>
        <v>53715.3647</v>
      </c>
      <c r="H28" s="17">
        <f t="shared" si="5"/>
        <v>11243</v>
      </c>
      <c r="I28" s="54" t="s">
        <v>167</v>
      </c>
      <c r="J28" s="55" t="s">
        <v>168</v>
      </c>
      <c r="K28" s="54">
        <v>11243</v>
      </c>
      <c r="L28" s="54" t="s">
        <v>169</v>
      </c>
      <c r="M28" s="55" t="s">
        <v>163</v>
      </c>
      <c r="N28" s="55" t="s">
        <v>164</v>
      </c>
      <c r="O28" s="56" t="s">
        <v>170</v>
      </c>
      <c r="P28" s="57" t="s">
        <v>166</v>
      </c>
    </row>
    <row r="29" spans="1:16" ht="12.75" customHeight="1" thickBot="1">
      <c r="A29" s="17" t="str">
        <f t="shared" si="0"/>
        <v>IBVS 5760 </v>
      </c>
      <c r="B29" s="5" t="str">
        <f t="shared" si="1"/>
        <v>I</v>
      </c>
      <c r="C29" s="17">
        <f t="shared" si="2"/>
        <v>54093.715900000003</v>
      </c>
      <c r="D29" s="15" t="str">
        <f t="shared" si="3"/>
        <v>vis</v>
      </c>
      <c r="E29" s="53">
        <f>VLOOKUP(C29,Active!C$21:E$969,3,FALSE)</f>
        <v>11490.126404970259</v>
      </c>
      <c r="F29" s="5" t="s">
        <v>84</v>
      </c>
      <c r="G29" s="15" t="str">
        <f t="shared" si="4"/>
        <v>54093.7159</v>
      </c>
      <c r="H29" s="17">
        <f t="shared" si="5"/>
        <v>11490</v>
      </c>
      <c r="I29" s="54" t="s">
        <v>171</v>
      </c>
      <c r="J29" s="55" t="s">
        <v>172</v>
      </c>
      <c r="K29" s="54">
        <v>11490</v>
      </c>
      <c r="L29" s="54" t="s">
        <v>173</v>
      </c>
      <c r="M29" s="55" t="s">
        <v>163</v>
      </c>
      <c r="N29" s="55" t="s">
        <v>174</v>
      </c>
      <c r="O29" s="56" t="s">
        <v>175</v>
      </c>
      <c r="P29" s="57" t="s">
        <v>176</v>
      </c>
    </row>
    <row r="30" spans="1:16" ht="12.75" customHeight="1" thickBot="1">
      <c r="A30" s="17" t="str">
        <f t="shared" si="0"/>
        <v>IBVS 5875 </v>
      </c>
      <c r="B30" s="5" t="str">
        <f t="shared" si="1"/>
        <v>I</v>
      </c>
      <c r="C30" s="17">
        <f t="shared" si="2"/>
        <v>54793.734900000003</v>
      </c>
      <c r="D30" s="15" t="str">
        <f t="shared" si="3"/>
        <v>vis</v>
      </c>
      <c r="E30" s="53">
        <f>VLOOKUP(C30,Active!C$21:E$969,3,FALSE)</f>
        <v>11947.127282322843</v>
      </c>
      <c r="F30" s="5" t="s">
        <v>84</v>
      </c>
      <c r="G30" s="15" t="str">
        <f t="shared" si="4"/>
        <v>54793.7349</v>
      </c>
      <c r="H30" s="17">
        <f t="shared" si="5"/>
        <v>11947</v>
      </c>
      <c r="I30" s="54" t="s">
        <v>182</v>
      </c>
      <c r="J30" s="55" t="s">
        <v>183</v>
      </c>
      <c r="K30" s="54">
        <v>11947</v>
      </c>
      <c r="L30" s="54" t="s">
        <v>184</v>
      </c>
      <c r="M30" s="55" t="s">
        <v>163</v>
      </c>
      <c r="N30" s="55" t="s">
        <v>76</v>
      </c>
      <c r="O30" s="56" t="s">
        <v>175</v>
      </c>
      <c r="P30" s="57" t="s">
        <v>185</v>
      </c>
    </row>
    <row r="31" spans="1:16" ht="12.75" customHeight="1" thickBot="1">
      <c r="A31" s="17" t="str">
        <f t="shared" si="0"/>
        <v>IBVS 5894 </v>
      </c>
      <c r="B31" s="5" t="str">
        <f t="shared" si="1"/>
        <v>I</v>
      </c>
      <c r="C31" s="17">
        <f t="shared" si="2"/>
        <v>54862.667800000003</v>
      </c>
      <c r="D31" s="15" t="str">
        <f t="shared" si="3"/>
        <v>vis</v>
      </c>
      <c r="E31" s="53">
        <f>VLOOKUP(C31,Active!C$21:E$969,3,FALSE)</f>
        <v>11992.129483375184</v>
      </c>
      <c r="F31" s="5" t="s">
        <v>84</v>
      </c>
      <c r="G31" s="15" t="str">
        <f t="shared" si="4"/>
        <v>54862.6678</v>
      </c>
      <c r="H31" s="17">
        <f t="shared" si="5"/>
        <v>11992</v>
      </c>
      <c r="I31" s="54" t="s">
        <v>186</v>
      </c>
      <c r="J31" s="55" t="s">
        <v>187</v>
      </c>
      <c r="K31" s="54">
        <v>11992</v>
      </c>
      <c r="L31" s="54" t="s">
        <v>188</v>
      </c>
      <c r="M31" s="55" t="s">
        <v>163</v>
      </c>
      <c r="N31" s="55" t="s">
        <v>84</v>
      </c>
      <c r="O31" s="56" t="s">
        <v>96</v>
      </c>
      <c r="P31" s="57" t="s">
        <v>189</v>
      </c>
    </row>
    <row r="32" spans="1:16" ht="12.75" customHeight="1" thickBot="1">
      <c r="A32" s="17" t="str">
        <f t="shared" si="0"/>
        <v>IBVS 5997 </v>
      </c>
      <c r="B32" s="5" t="str">
        <f t="shared" si="1"/>
        <v>I</v>
      </c>
      <c r="C32" s="17">
        <f t="shared" si="2"/>
        <v>55305.346100000002</v>
      </c>
      <c r="D32" s="15" t="str">
        <f t="shared" si="3"/>
        <v>vis</v>
      </c>
      <c r="E32" s="53">
        <f>VLOOKUP(C32,Active!C$21:E$969,3,FALSE)</f>
        <v>12281.127884111378</v>
      </c>
      <c r="F32" s="5" t="s">
        <v>84</v>
      </c>
      <c r="G32" s="15" t="str">
        <f t="shared" si="4"/>
        <v>55305.3461</v>
      </c>
      <c r="H32" s="17">
        <f t="shared" si="5"/>
        <v>12281</v>
      </c>
      <c r="I32" s="54" t="s">
        <v>199</v>
      </c>
      <c r="J32" s="55" t="s">
        <v>200</v>
      </c>
      <c r="K32" s="54">
        <v>12281</v>
      </c>
      <c r="L32" s="54" t="s">
        <v>201</v>
      </c>
      <c r="M32" s="55" t="s">
        <v>163</v>
      </c>
      <c r="N32" s="55" t="s">
        <v>84</v>
      </c>
      <c r="O32" s="56" t="s">
        <v>193</v>
      </c>
      <c r="P32" s="57" t="s">
        <v>202</v>
      </c>
    </row>
    <row r="33" spans="1:16" ht="12.75" customHeight="1" thickBot="1">
      <c r="A33" s="17" t="str">
        <f t="shared" si="0"/>
        <v>IBVS 5992 </v>
      </c>
      <c r="B33" s="5" t="str">
        <f t="shared" si="1"/>
        <v>I</v>
      </c>
      <c r="C33" s="17">
        <f t="shared" si="2"/>
        <v>55582.595800000003</v>
      </c>
      <c r="D33" s="15" t="str">
        <f t="shared" si="3"/>
        <v>vis</v>
      </c>
      <c r="E33" s="53">
        <f>VLOOKUP(C33,Active!C$21:E$969,3,FALSE)</f>
        <v>12462.127765751364</v>
      </c>
      <c r="F33" s="5" t="s">
        <v>84</v>
      </c>
      <c r="G33" s="15" t="str">
        <f t="shared" si="4"/>
        <v>55582.5958</v>
      </c>
      <c r="H33" s="17">
        <f t="shared" si="5"/>
        <v>12462</v>
      </c>
      <c r="I33" s="54" t="s">
        <v>206</v>
      </c>
      <c r="J33" s="55" t="s">
        <v>207</v>
      </c>
      <c r="K33" s="54">
        <v>12462</v>
      </c>
      <c r="L33" s="54" t="s">
        <v>197</v>
      </c>
      <c r="M33" s="55" t="s">
        <v>163</v>
      </c>
      <c r="N33" s="55" t="s">
        <v>84</v>
      </c>
      <c r="O33" s="56" t="s">
        <v>96</v>
      </c>
      <c r="P33" s="57" t="s">
        <v>208</v>
      </c>
    </row>
    <row r="34" spans="1:16" ht="12.75" customHeight="1" thickBot="1">
      <c r="A34" s="17" t="str">
        <f t="shared" si="0"/>
        <v>OEJV 0160 </v>
      </c>
      <c r="B34" s="5" t="str">
        <f t="shared" si="1"/>
        <v>I</v>
      </c>
      <c r="C34" s="17">
        <f t="shared" si="2"/>
        <v>55616.294379999999</v>
      </c>
      <c r="D34" s="15" t="str">
        <f t="shared" si="3"/>
        <v>vis</v>
      </c>
      <c r="E34" s="53" t="e">
        <f>VLOOKUP(C34,Active!C$21:E$969,3,FALSE)</f>
        <v>#N/A</v>
      </c>
      <c r="F34" s="5" t="s">
        <v>84</v>
      </c>
      <c r="G34" s="15" t="str">
        <f t="shared" si="4"/>
        <v>55616.29438</v>
      </c>
      <c r="H34" s="17">
        <f t="shared" si="5"/>
        <v>12484</v>
      </c>
      <c r="I34" s="54" t="s">
        <v>209</v>
      </c>
      <c r="J34" s="55" t="s">
        <v>210</v>
      </c>
      <c r="K34" s="54">
        <v>12484</v>
      </c>
      <c r="L34" s="54" t="s">
        <v>211</v>
      </c>
      <c r="M34" s="55" t="s">
        <v>163</v>
      </c>
      <c r="N34" s="55" t="s">
        <v>174</v>
      </c>
      <c r="O34" s="56" t="s">
        <v>212</v>
      </c>
      <c r="P34" s="57" t="s">
        <v>213</v>
      </c>
    </row>
    <row r="35" spans="1:16" ht="12.75" customHeight="1" thickBot="1">
      <c r="A35" s="17" t="str">
        <f t="shared" si="0"/>
        <v>OEJV 0160 </v>
      </c>
      <c r="B35" s="5" t="str">
        <f t="shared" si="1"/>
        <v>I</v>
      </c>
      <c r="C35" s="17">
        <f t="shared" si="2"/>
        <v>55642.334490000001</v>
      </c>
      <c r="D35" s="15" t="str">
        <f t="shared" si="3"/>
        <v>vis</v>
      </c>
      <c r="E35" s="53">
        <f>VLOOKUP(C35,Active!C$21:E$969,3,FALSE)</f>
        <v>12501.127612529655</v>
      </c>
      <c r="F35" s="5" t="s">
        <v>84</v>
      </c>
      <c r="G35" s="15" t="str">
        <f t="shared" si="4"/>
        <v>55642.33449</v>
      </c>
      <c r="H35" s="17">
        <f t="shared" si="5"/>
        <v>12501</v>
      </c>
      <c r="I35" s="54" t="s">
        <v>214</v>
      </c>
      <c r="J35" s="55" t="s">
        <v>215</v>
      </c>
      <c r="K35" s="54">
        <v>12501</v>
      </c>
      <c r="L35" s="54" t="s">
        <v>216</v>
      </c>
      <c r="M35" s="55" t="s">
        <v>163</v>
      </c>
      <c r="N35" s="55" t="s">
        <v>84</v>
      </c>
      <c r="O35" s="56" t="s">
        <v>198</v>
      </c>
      <c r="P35" s="57" t="s">
        <v>213</v>
      </c>
    </row>
    <row r="36" spans="1:16" ht="12.75" customHeight="1" thickBot="1">
      <c r="A36" s="17" t="str">
        <f t="shared" si="0"/>
        <v>OEJV 0160 </v>
      </c>
      <c r="B36" s="5" t="str">
        <f t="shared" si="1"/>
        <v>I</v>
      </c>
      <c r="C36" s="17">
        <f t="shared" si="2"/>
        <v>55642.334589999999</v>
      </c>
      <c r="D36" s="15" t="str">
        <f t="shared" si="3"/>
        <v>vis</v>
      </c>
      <c r="E36" s="53">
        <f>VLOOKUP(C36,Active!C$21:E$969,3,FALSE)</f>
        <v>12501.127677813722</v>
      </c>
      <c r="F36" s="5" t="s">
        <v>84</v>
      </c>
      <c r="G36" s="15" t="str">
        <f t="shared" si="4"/>
        <v>55642.33459</v>
      </c>
      <c r="H36" s="17">
        <f t="shared" si="5"/>
        <v>12501</v>
      </c>
      <c r="I36" s="54" t="s">
        <v>217</v>
      </c>
      <c r="J36" s="55" t="s">
        <v>215</v>
      </c>
      <c r="K36" s="54">
        <v>12501</v>
      </c>
      <c r="L36" s="54" t="s">
        <v>218</v>
      </c>
      <c r="M36" s="55" t="s">
        <v>163</v>
      </c>
      <c r="N36" s="55" t="s">
        <v>174</v>
      </c>
      <c r="O36" s="56" t="s">
        <v>198</v>
      </c>
      <c r="P36" s="57" t="s">
        <v>213</v>
      </c>
    </row>
    <row r="37" spans="1:16" ht="12.75" customHeight="1" thickBot="1">
      <c r="A37" s="17" t="str">
        <f t="shared" si="0"/>
        <v>OEJV 0160 </v>
      </c>
      <c r="B37" s="5" t="str">
        <f t="shared" si="1"/>
        <v>I</v>
      </c>
      <c r="C37" s="17">
        <f t="shared" si="2"/>
        <v>55956.347029999997</v>
      </c>
      <c r="D37" s="15" t="str">
        <f t="shared" si="3"/>
        <v>vis</v>
      </c>
      <c r="E37" s="53">
        <f>VLOOKUP(C37,Active!C$21:E$969,3,FALSE)</f>
        <v>12706.127771496358</v>
      </c>
      <c r="F37" s="5" t="s">
        <v>84</v>
      </c>
      <c r="G37" s="15" t="str">
        <f t="shared" si="4"/>
        <v>55956.34703</v>
      </c>
      <c r="H37" s="17">
        <f t="shared" si="5"/>
        <v>12706</v>
      </c>
      <c r="I37" s="54" t="s">
        <v>219</v>
      </c>
      <c r="J37" s="55" t="s">
        <v>220</v>
      </c>
      <c r="K37" s="54">
        <v>12706</v>
      </c>
      <c r="L37" s="54" t="s">
        <v>221</v>
      </c>
      <c r="M37" s="55" t="s">
        <v>163</v>
      </c>
      <c r="N37" s="55" t="s">
        <v>174</v>
      </c>
      <c r="O37" s="56" t="s">
        <v>212</v>
      </c>
      <c r="P37" s="57" t="s">
        <v>213</v>
      </c>
    </row>
    <row r="38" spans="1:16" ht="12.75" customHeight="1" thickBot="1">
      <c r="A38" s="17" t="str">
        <f t="shared" si="0"/>
        <v>OEJV 0160 </v>
      </c>
      <c r="B38" s="5" t="str">
        <f t="shared" si="1"/>
        <v>II</v>
      </c>
      <c r="C38" s="17">
        <f t="shared" si="2"/>
        <v>55969.367530000003</v>
      </c>
      <c r="D38" s="15" t="str">
        <f t="shared" si="3"/>
        <v>vis</v>
      </c>
      <c r="E38" s="53">
        <f>VLOOKUP(C38,Active!C$21:E$969,3,FALSE)</f>
        <v>12714.628083521564</v>
      </c>
      <c r="F38" s="5" t="s">
        <v>84</v>
      </c>
      <c r="G38" s="15" t="str">
        <f t="shared" si="4"/>
        <v>55969.36753</v>
      </c>
      <c r="H38" s="17">
        <f t="shared" si="5"/>
        <v>12714.5</v>
      </c>
      <c r="I38" s="54" t="s">
        <v>222</v>
      </c>
      <c r="J38" s="55" t="s">
        <v>223</v>
      </c>
      <c r="K38" s="54">
        <v>12714.5</v>
      </c>
      <c r="L38" s="54" t="s">
        <v>224</v>
      </c>
      <c r="M38" s="55" t="s">
        <v>163</v>
      </c>
      <c r="N38" s="55" t="s">
        <v>174</v>
      </c>
      <c r="O38" s="56" t="s">
        <v>212</v>
      </c>
      <c r="P38" s="57" t="s">
        <v>213</v>
      </c>
    </row>
    <row r="39" spans="1:16" ht="12.75" customHeight="1" thickBot="1">
      <c r="A39" s="17" t="str">
        <f t="shared" si="0"/>
        <v>OEJV 0160 </v>
      </c>
      <c r="B39" s="5" t="str">
        <f t="shared" si="1"/>
        <v>I</v>
      </c>
      <c r="C39" s="17">
        <f t="shared" si="2"/>
        <v>56002.300009999999</v>
      </c>
      <c r="D39" s="15" t="str">
        <f t="shared" si="3"/>
        <v>vis</v>
      </c>
      <c r="E39" s="53">
        <f>VLOOKUP(C39,Active!C$21:E$969,3,FALSE)</f>
        <v>12736.127746035572</v>
      </c>
      <c r="F39" s="5" t="s">
        <v>84</v>
      </c>
      <c r="G39" s="15" t="str">
        <f t="shared" si="4"/>
        <v>56002.30001</v>
      </c>
      <c r="H39" s="17">
        <f t="shared" si="5"/>
        <v>12736</v>
      </c>
      <c r="I39" s="54" t="s">
        <v>225</v>
      </c>
      <c r="J39" s="55" t="s">
        <v>226</v>
      </c>
      <c r="K39" s="54">
        <v>12736</v>
      </c>
      <c r="L39" s="54" t="s">
        <v>227</v>
      </c>
      <c r="M39" s="55" t="s">
        <v>163</v>
      </c>
      <c r="N39" s="55" t="s">
        <v>174</v>
      </c>
      <c r="O39" s="56" t="s">
        <v>198</v>
      </c>
      <c r="P39" s="57" t="s">
        <v>213</v>
      </c>
    </row>
    <row r="40" spans="1:16" ht="12.75" customHeight="1" thickBot="1">
      <c r="A40" s="17" t="str">
        <f t="shared" si="0"/>
        <v>OEJV 0160 </v>
      </c>
      <c r="B40" s="5" t="str">
        <f t="shared" si="1"/>
        <v>I</v>
      </c>
      <c r="C40" s="17">
        <f t="shared" si="2"/>
        <v>56002.300309999999</v>
      </c>
      <c r="D40" s="15" t="str">
        <f t="shared" si="3"/>
        <v>vis</v>
      </c>
      <c r="E40" s="53">
        <f>VLOOKUP(C40,Active!C$21:E$969,3,FALSE)</f>
        <v>12736.127941887775</v>
      </c>
      <c r="F40" s="5" t="s">
        <v>84</v>
      </c>
      <c r="G40" s="15" t="str">
        <f t="shared" si="4"/>
        <v>56002.30031</v>
      </c>
      <c r="H40" s="17">
        <f t="shared" si="5"/>
        <v>12736</v>
      </c>
      <c r="I40" s="54" t="s">
        <v>228</v>
      </c>
      <c r="J40" s="55" t="s">
        <v>226</v>
      </c>
      <c r="K40" s="54">
        <v>12736</v>
      </c>
      <c r="L40" s="54" t="s">
        <v>229</v>
      </c>
      <c r="M40" s="55" t="s">
        <v>163</v>
      </c>
      <c r="N40" s="55" t="s">
        <v>84</v>
      </c>
      <c r="O40" s="56" t="s">
        <v>198</v>
      </c>
      <c r="P40" s="57" t="s">
        <v>213</v>
      </c>
    </row>
    <row r="41" spans="1:16" ht="12.75" customHeight="1" thickBot="1">
      <c r="A41" s="17" t="str">
        <f t="shared" si="0"/>
        <v>OEJV 0160 </v>
      </c>
      <c r="B41" s="5" t="str">
        <f t="shared" si="1"/>
        <v>I</v>
      </c>
      <c r="C41" s="17">
        <f t="shared" si="2"/>
        <v>56002.301010000003</v>
      </c>
      <c r="D41" s="15" t="str">
        <f t="shared" si="3"/>
        <v>vis</v>
      </c>
      <c r="E41" s="53">
        <f>VLOOKUP(C41,Active!C$21:E$969,3,FALSE)</f>
        <v>12736.128398876252</v>
      </c>
      <c r="F41" s="5" t="s">
        <v>84</v>
      </c>
      <c r="G41" s="15" t="str">
        <f t="shared" si="4"/>
        <v>56002.30101</v>
      </c>
      <c r="H41" s="17">
        <f t="shared" si="5"/>
        <v>12736</v>
      </c>
      <c r="I41" s="54" t="s">
        <v>230</v>
      </c>
      <c r="J41" s="55" t="s">
        <v>231</v>
      </c>
      <c r="K41" s="54">
        <v>12736</v>
      </c>
      <c r="L41" s="54" t="s">
        <v>232</v>
      </c>
      <c r="M41" s="55" t="s">
        <v>163</v>
      </c>
      <c r="N41" s="55" t="s">
        <v>47</v>
      </c>
      <c r="O41" s="56" t="s">
        <v>198</v>
      </c>
      <c r="P41" s="57" t="s">
        <v>213</v>
      </c>
    </row>
    <row r="42" spans="1:16" ht="12.75" customHeight="1" thickBot="1">
      <c r="A42" s="17" t="str">
        <f t="shared" si="0"/>
        <v> BRNO 32 </v>
      </c>
      <c r="B42" s="5" t="str">
        <f t="shared" si="1"/>
        <v>I</v>
      </c>
      <c r="C42" s="17">
        <f t="shared" si="2"/>
        <v>49789.414199999999</v>
      </c>
      <c r="D42" s="15" t="str">
        <f t="shared" si="3"/>
        <v>vis</v>
      </c>
      <c r="E42" s="53">
        <f>VLOOKUP(C42,Active!C$21:E$969,3,FALSE)</f>
        <v>8680.1031723291107</v>
      </c>
      <c r="F42" s="5" t="s">
        <v>84</v>
      </c>
      <c r="G42" s="15" t="str">
        <f t="shared" si="4"/>
        <v>49789.4142</v>
      </c>
      <c r="H42" s="17">
        <f t="shared" si="5"/>
        <v>8680</v>
      </c>
      <c r="I42" s="54" t="s">
        <v>128</v>
      </c>
      <c r="J42" s="55" t="s">
        <v>129</v>
      </c>
      <c r="K42" s="54">
        <v>8680</v>
      </c>
      <c r="L42" s="54" t="s">
        <v>130</v>
      </c>
      <c r="M42" s="55" t="s">
        <v>95</v>
      </c>
      <c r="N42" s="55"/>
      <c r="O42" s="56" t="s">
        <v>115</v>
      </c>
      <c r="P42" s="56" t="s">
        <v>131</v>
      </c>
    </row>
    <row r="43" spans="1:16" ht="12.75" customHeight="1" thickBot="1">
      <c r="A43" s="17" t="str">
        <f t="shared" si="0"/>
        <v> JAAVSO 39;102 </v>
      </c>
      <c r="B43" s="5" t="str">
        <f t="shared" si="1"/>
        <v>I</v>
      </c>
      <c r="C43" s="17">
        <f t="shared" si="2"/>
        <v>54438.365400000002</v>
      </c>
      <c r="D43" s="15" t="str">
        <f t="shared" si="3"/>
        <v>vis</v>
      </c>
      <c r="E43" s="53">
        <f>VLOOKUP(C43,Active!C$21:E$969,3,FALSE)</f>
        <v>11715.127617621814</v>
      </c>
      <c r="F43" s="5" t="s">
        <v>84</v>
      </c>
      <c r="G43" s="15" t="str">
        <f t="shared" si="4"/>
        <v>54438.3654</v>
      </c>
      <c r="H43" s="17">
        <f t="shared" si="5"/>
        <v>11715</v>
      </c>
      <c r="I43" s="54" t="s">
        <v>177</v>
      </c>
      <c r="J43" s="55" t="s">
        <v>178</v>
      </c>
      <c r="K43" s="54">
        <v>11715</v>
      </c>
      <c r="L43" s="54" t="s">
        <v>179</v>
      </c>
      <c r="M43" s="55" t="s">
        <v>163</v>
      </c>
      <c r="N43" s="55" t="s">
        <v>84</v>
      </c>
      <c r="O43" s="56" t="s">
        <v>180</v>
      </c>
      <c r="P43" s="56" t="s">
        <v>181</v>
      </c>
    </row>
    <row r="44" spans="1:16" ht="12.75" customHeight="1" thickBot="1">
      <c r="A44" s="17" t="str">
        <f t="shared" si="0"/>
        <v>OEJV 0137 </v>
      </c>
      <c r="B44" s="5" t="str">
        <f t="shared" si="1"/>
        <v>I</v>
      </c>
      <c r="C44" s="17">
        <f t="shared" si="2"/>
        <v>55181.273500000003</v>
      </c>
      <c r="D44" s="15" t="str">
        <f t="shared" si="3"/>
        <v>vis</v>
      </c>
      <c r="E44" s="53" t="e">
        <f>VLOOKUP(C44,Active!C$21:E$969,3,FALSE)</f>
        <v>#N/A</v>
      </c>
      <c r="F44" s="5" t="s">
        <v>84</v>
      </c>
      <c r="G44" s="15" t="str">
        <f t="shared" si="4"/>
        <v>55181.2735</v>
      </c>
      <c r="H44" s="17">
        <f t="shared" si="5"/>
        <v>12200</v>
      </c>
      <c r="I44" s="54" t="s">
        <v>190</v>
      </c>
      <c r="J44" s="55" t="s">
        <v>191</v>
      </c>
      <c r="K44" s="54">
        <v>12200</v>
      </c>
      <c r="L44" s="54" t="s">
        <v>192</v>
      </c>
      <c r="M44" s="55" t="s">
        <v>163</v>
      </c>
      <c r="N44" s="55" t="s">
        <v>76</v>
      </c>
      <c r="O44" s="56" t="s">
        <v>193</v>
      </c>
      <c r="P44" s="57" t="s">
        <v>194</v>
      </c>
    </row>
    <row r="45" spans="1:16" ht="12.75" customHeight="1" thickBot="1">
      <c r="A45" s="17" t="str">
        <f t="shared" si="0"/>
        <v>OEJV 0137 </v>
      </c>
      <c r="B45" s="5" t="str">
        <f t="shared" si="1"/>
        <v>I</v>
      </c>
      <c r="C45" s="17">
        <f t="shared" si="2"/>
        <v>55253.265800000001</v>
      </c>
      <c r="D45" s="15" t="str">
        <f t="shared" si="3"/>
        <v>vis</v>
      </c>
      <c r="E45" s="53" t="e">
        <f>VLOOKUP(C45,Active!C$21:E$969,3,FALSE)</f>
        <v>#N/A</v>
      </c>
      <c r="F45" s="5" t="s">
        <v>84</v>
      </c>
      <c r="G45" s="15" t="str">
        <f t="shared" si="4"/>
        <v>55253.2658</v>
      </c>
      <c r="H45" s="17">
        <f t="shared" si="5"/>
        <v>12247</v>
      </c>
      <c r="I45" s="54" t="s">
        <v>195</v>
      </c>
      <c r="J45" s="55" t="s">
        <v>196</v>
      </c>
      <c r="K45" s="54">
        <v>12247</v>
      </c>
      <c r="L45" s="54" t="s">
        <v>197</v>
      </c>
      <c r="M45" s="55" t="s">
        <v>163</v>
      </c>
      <c r="N45" s="55" t="s">
        <v>47</v>
      </c>
      <c r="O45" s="56" t="s">
        <v>198</v>
      </c>
      <c r="P45" s="57" t="s">
        <v>194</v>
      </c>
    </row>
    <row r="46" spans="1:16" ht="12.75" customHeight="1" thickBot="1">
      <c r="A46" s="17" t="str">
        <f t="shared" si="0"/>
        <v>OEJV 0137 </v>
      </c>
      <c r="B46" s="5" t="str">
        <f t="shared" si="1"/>
        <v>I</v>
      </c>
      <c r="C46" s="17">
        <f t="shared" si="2"/>
        <v>55305.346899999997</v>
      </c>
      <c r="D46" s="15" t="str">
        <f t="shared" si="3"/>
        <v>vis</v>
      </c>
      <c r="E46" s="53" t="e">
        <f>VLOOKUP(C46,Active!C$21:E$969,3,FALSE)</f>
        <v>#N/A</v>
      </c>
      <c r="F46" s="5" t="s">
        <v>84</v>
      </c>
      <c r="G46" s="15" t="str">
        <f t="shared" si="4"/>
        <v>55305.3469</v>
      </c>
      <c r="H46" s="17">
        <f t="shared" si="5"/>
        <v>12281</v>
      </c>
      <c r="I46" s="54" t="s">
        <v>203</v>
      </c>
      <c r="J46" s="55" t="s">
        <v>204</v>
      </c>
      <c r="K46" s="54">
        <v>12281</v>
      </c>
      <c r="L46" s="54" t="s">
        <v>205</v>
      </c>
      <c r="M46" s="55" t="s">
        <v>163</v>
      </c>
      <c r="N46" s="55" t="s">
        <v>84</v>
      </c>
      <c r="O46" s="56" t="s">
        <v>193</v>
      </c>
      <c r="P46" s="57" t="s">
        <v>194</v>
      </c>
    </row>
    <row r="47" spans="1:16">
      <c r="B47" s="5"/>
      <c r="E47" s="53"/>
      <c r="F47" s="5"/>
    </row>
    <row r="48" spans="1:16">
      <c r="B48" s="5"/>
      <c r="E48" s="53"/>
      <c r="F48" s="5"/>
    </row>
    <row r="49" spans="2:6">
      <c r="B49" s="5"/>
      <c r="E49" s="53"/>
      <c r="F49" s="5"/>
    </row>
    <row r="50" spans="2:6">
      <c r="B50" s="5"/>
      <c r="E50" s="53"/>
      <c r="F50" s="5"/>
    </row>
    <row r="51" spans="2:6">
      <c r="B51" s="5"/>
      <c r="E51" s="53"/>
      <c r="F51" s="5"/>
    </row>
    <row r="52" spans="2:6">
      <c r="B52" s="5"/>
      <c r="E52" s="53"/>
      <c r="F52" s="5"/>
    </row>
    <row r="53" spans="2:6">
      <c r="B53" s="5"/>
      <c r="E53" s="53"/>
      <c r="F53" s="5"/>
    </row>
    <row r="54" spans="2:6">
      <c r="B54" s="5"/>
      <c r="E54" s="53"/>
      <c r="F54" s="5"/>
    </row>
    <row r="55" spans="2:6">
      <c r="B55" s="5"/>
      <c r="E55" s="53"/>
      <c r="F55" s="5"/>
    </row>
    <row r="56" spans="2:6">
      <c r="B56" s="5"/>
      <c r="E56" s="53"/>
      <c r="F56" s="5"/>
    </row>
    <row r="57" spans="2:6">
      <c r="B57" s="5"/>
      <c r="E57" s="53"/>
      <c r="F57" s="5"/>
    </row>
    <row r="58" spans="2:6">
      <c r="B58" s="5"/>
      <c r="E58" s="53"/>
      <c r="F58" s="5"/>
    </row>
    <row r="59" spans="2:6">
      <c r="B59" s="5"/>
      <c r="E59" s="53"/>
      <c r="F59" s="5"/>
    </row>
    <row r="60" spans="2:6">
      <c r="B60" s="5"/>
      <c r="E60" s="53"/>
      <c r="F60" s="5"/>
    </row>
    <row r="61" spans="2:6">
      <c r="B61" s="5"/>
      <c r="E61" s="53"/>
      <c r="F61" s="5"/>
    </row>
    <row r="62" spans="2:6">
      <c r="B62" s="5"/>
      <c r="E62" s="53"/>
      <c r="F62" s="5"/>
    </row>
    <row r="63" spans="2:6">
      <c r="B63" s="5"/>
      <c r="E63" s="53"/>
      <c r="F63" s="5"/>
    </row>
    <row r="64" spans="2:6">
      <c r="B64" s="5"/>
      <c r="E64" s="53"/>
      <c r="F64" s="5"/>
    </row>
    <row r="65" spans="2:6">
      <c r="B65" s="5"/>
      <c r="E65" s="53"/>
      <c r="F65" s="5"/>
    </row>
    <row r="66" spans="2:6">
      <c r="B66" s="5"/>
      <c r="E66" s="53"/>
      <c r="F66" s="5"/>
    </row>
    <row r="67" spans="2:6">
      <c r="B67" s="5"/>
      <c r="E67" s="53"/>
      <c r="F67" s="5"/>
    </row>
    <row r="68" spans="2:6">
      <c r="B68" s="5"/>
      <c r="E68" s="53"/>
      <c r="F68" s="5"/>
    </row>
    <row r="69" spans="2:6">
      <c r="B69" s="5"/>
      <c r="E69" s="53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</sheetData>
  <phoneticPr fontId="8" type="noConversion"/>
  <hyperlinks>
    <hyperlink ref="P26" r:id="rId1" display="http://www.konkoly.hu/cgi-bin/IBVS?5690"/>
    <hyperlink ref="P27" r:id="rId2" display="http://www.bav-astro.de/sfs/BAVM_link.php?BAVMnr=178"/>
    <hyperlink ref="P28" r:id="rId3" display="http://www.bav-astro.de/sfs/BAVM_link.php?BAVMnr=178"/>
    <hyperlink ref="P29" r:id="rId4" display="http://www.konkoly.hu/cgi-bin/IBVS?5760"/>
    <hyperlink ref="P30" r:id="rId5" display="http://www.konkoly.hu/cgi-bin/IBVS?5875"/>
    <hyperlink ref="P31" r:id="rId6" display="http://www.konkoly.hu/cgi-bin/IBVS?5894"/>
    <hyperlink ref="P44" r:id="rId7" display="http://var.astro.cz/oejv/issues/oejv0137.pdf"/>
    <hyperlink ref="P45" r:id="rId8" display="http://var.astro.cz/oejv/issues/oejv0137.pdf"/>
    <hyperlink ref="P32" r:id="rId9" display="http://www.konkoly.hu/cgi-bin/IBVS?5997"/>
    <hyperlink ref="P46" r:id="rId10" display="http://var.astro.cz/oejv/issues/oejv0137.pdf"/>
    <hyperlink ref="P33" r:id="rId11" display="http://www.konkoly.hu/cgi-bin/IBVS?5992"/>
    <hyperlink ref="P34" r:id="rId12" display="http://var.astro.cz/oejv/issues/oejv0160.pdf"/>
    <hyperlink ref="P35" r:id="rId13" display="http://var.astro.cz/oejv/issues/oejv0160.pdf"/>
    <hyperlink ref="P36" r:id="rId14" display="http://var.astro.cz/oejv/issues/oejv0160.pdf"/>
    <hyperlink ref="P37" r:id="rId15" display="http://var.astro.cz/oejv/issues/oejv0160.pdf"/>
    <hyperlink ref="P38" r:id="rId16" display="http://var.astro.cz/oejv/issues/oejv0160.pdf"/>
    <hyperlink ref="P39" r:id="rId17" display="http://var.astro.cz/oejv/issues/oejv0160.pdf"/>
    <hyperlink ref="P40" r:id="rId18" display="http://var.astro.cz/oejv/issues/oejv0160.pdf"/>
    <hyperlink ref="P41" r:id="rId19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2023-01-24T07:02:10Z</dcterms:modified>
</cp:coreProperties>
</file>