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364C8C5F-E3CC-41AC-9E49-100743BAEA66}" xr6:coauthVersionLast="47" xr6:coauthVersionMax="47" xr10:uidLastSave="{00000000-0000-0000-0000-000000000000}"/>
  <bookViews>
    <workbookView xWindow="13575" yWindow="540" windowWidth="1332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L32" i="1" s="1"/>
  <c r="Q32" i="1"/>
  <c r="D9" i="1"/>
  <c r="C9" i="1"/>
  <c r="Q23" i="1"/>
  <c r="Q24" i="1"/>
  <c r="Q28" i="1"/>
  <c r="G17" i="2"/>
  <c r="C17" i="2"/>
  <c r="G16" i="2"/>
  <c r="C16" i="2"/>
  <c r="G15" i="2"/>
  <c r="C15" i="2"/>
  <c r="G20" i="2"/>
  <c r="C20" i="2"/>
  <c r="G14" i="2"/>
  <c r="C14" i="2"/>
  <c r="G13" i="2"/>
  <c r="C13" i="2"/>
  <c r="G12" i="2"/>
  <c r="C12" i="2"/>
  <c r="G19" i="2"/>
  <c r="C19" i="2"/>
  <c r="G18" i="2"/>
  <c r="C18" i="2"/>
  <c r="E18" i="2"/>
  <c r="G11" i="2"/>
  <c r="C11" i="2"/>
  <c r="H17" i="2"/>
  <c r="D17" i="2"/>
  <c r="B17" i="2"/>
  <c r="A17" i="2"/>
  <c r="H16" i="2"/>
  <c r="D16" i="2"/>
  <c r="B16" i="2"/>
  <c r="A16" i="2"/>
  <c r="H15" i="2"/>
  <c r="D15" i="2"/>
  <c r="B15" i="2"/>
  <c r="A15" i="2"/>
  <c r="H20" i="2"/>
  <c r="D20" i="2"/>
  <c r="B20" i="2"/>
  <c r="A20" i="2"/>
  <c r="H14" i="2"/>
  <c r="D14" i="2"/>
  <c r="B14" i="2"/>
  <c r="A14" i="2"/>
  <c r="H13" i="2"/>
  <c r="D13" i="2"/>
  <c r="B13" i="2"/>
  <c r="A13" i="2"/>
  <c r="H12" i="2"/>
  <c r="D12" i="2"/>
  <c r="B12" i="2"/>
  <c r="A12" i="2"/>
  <c r="H19" i="2"/>
  <c r="D19" i="2"/>
  <c r="B19" i="2"/>
  <c r="A19" i="2"/>
  <c r="H18" i="2"/>
  <c r="D18" i="2"/>
  <c r="B18" i="2"/>
  <c r="A18" i="2"/>
  <c r="H11" i="2"/>
  <c r="D11" i="2"/>
  <c r="B11" i="2"/>
  <c r="A11" i="2"/>
  <c r="Q31" i="1"/>
  <c r="Q30" i="1"/>
  <c r="Q29" i="1"/>
  <c r="F16" i="1"/>
  <c r="F17" i="1" s="1"/>
  <c r="C17" i="1"/>
  <c r="Q27" i="1"/>
  <c r="Q26" i="1"/>
  <c r="Q25" i="1"/>
  <c r="Q22" i="1"/>
  <c r="C8" i="1"/>
  <c r="C7" i="1"/>
  <c r="E23" i="1"/>
  <c r="F23" i="1"/>
  <c r="Q21" i="1"/>
  <c r="E16" i="2"/>
  <c r="E17" i="2"/>
  <c r="E12" i="2"/>
  <c r="E11" i="2"/>
  <c r="E19" i="2"/>
  <c r="E20" i="2"/>
  <c r="G25" i="1"/>
  <c r="J25" i="1"/>
  <c r="E28" i="1"/>
  <c r="F28" i="1"/>
  <c r="E29" i="1"/>
  <c r="F29" i="1"/>
  <c r="G24" i="1"/>
  <c r="K24" i="1"/>
  <c r="E25" i="1"/>
  <c r="F25" i="1"/>
  <c r="E21" i="1"/>
  <c r="F21" i="1"/>
  <c r="G21" i="1"/>
  <c r="H21" i="1"/>
  <c r="E31" i="1"/>
  <c r="F31" i="1"/>
  <c r="G31" i="1"/>
  <c r="J31" i="1"/>
  <c r="G22" i="1"/>
  <c r="I22" i="1"/>
  <c r="E24" i="1"/>
  <c r="F24" i="1"/>
  <c r="E27" i="1"/>
  <c r="F27" i="1"/>
  <c r="G27" i="1"/>
  <c r="J27" i="1"/>
  <c r="G26" i="1"/>
  <c r="J26" i="1"/>
  <c r="E22" i="1"/>
  <c r="F22" i="1"/>
  <c r="G23" i="1"/>
  <c r="E30" i="1"/>
  <c r="F30" i="1"/>
  <c r="G30" i="1"/>
  <c r="J30" i="1"/>
  <c r="G28" i="1"/>
  <c r="K28" i="1"/>
  <c r="G29" i="1"/>
  <c r="J29" i="1"/>
  <c r="E26" i="1"/>
  <c r="F26" i="1"/>
  <c r="E14" i="2"/>
  <c r="E13" i="2"/>
  <c r="E15" i="2"/>
  <c r="K23" i="1"/>
  <c r="C11" i="1"/>
  <c r="C12" i="1"/>
  <c r="O32" i="1" l="1"/>
  <c r="C16" i="1"/>
  <c r="D18" i="1" s="1"/>
  <c r="O25" i="1"/>
  <c r="O27" i="1"/>
  <c r="O21" i="1"/>
  <c r="O30" i="1"/>
  <c r="O22" i="1"/>
  <c r="O24" i="1"/>
  <c r="O29" i="1"/>
  <c r="O28" i="1"/>
  <c r="O26" i="1"/>
  <c r="O31" i="1"/>
  <c r="O23" i="1"/>
  <c r="C15" i="1"/>
  <c r="C18" i="1" l="1"/>
  <c r="F18" i="1"/>
  <c r="F19" i="1" s="1"/>
</calcChain>
</file>

<file path=xl/sharedStrings.xml><?xml version="1.0" encoding="utf-8"?>
<sst xmlns="http://schemas.openxmlformats.org/spreadsheetml/2006/main" count="159" uniqueCount="114">
  <si>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</si>
  <si>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</si>
  <si>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</si>
  <si>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</si>
  <si>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</si>
  <si>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</si>
  <si>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</si>
  <si>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</si>
  <si>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</si>
  <si>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</si>
  <si>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</si>
  <si>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</si>
  <si>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</si>
  <si>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</si>
  <si>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</si>
  <si>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</si>
  <si>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</si>
  <si>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</si>
  <si>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</si>
  <si>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</si>
  <si>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</si>
  <si>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</si>
  <si>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</si>
  <si>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</si>
  <si>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</si>
  <si>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</si>
  <si>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</si>
  <si>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</si>
  <si>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Diethelm R</t>
  </si>
  <si>
    <t>BBSAG Bull.114</t>
  </si>
  <si>
    <t>B</t>
  </si>
  <si>
    <t>BBSAG</t>
  </si>
  <si>
    <t>IBVS 5583</t>
  </si>
  <si>
    <t>I</t>
  </si>
  <si>
    <t>IBVS</t>
  </si>
  <si>
    <t>EA/SD</t>
  </si>
  <si>
    <t>IV Tau / gsc 1842-0471</t>
  </si>
  <si>
    <t># of data points: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</si>
  <si>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</si>
  <si>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</si>
  <si>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</si>
  <si>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</si>
  <si>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</si>
  <si>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</si>
  <si>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</si>
  <si>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5871</t>
  </si>
  <si>
    <t>Add cycle</t>
  </si>
  <si>
    <t>Old Cycle</t>
  </si>
  <si>
    <t>IBVS 5960</t>
  </si>
  <si>
    <t>IBVS 6011</t>
  </si>
  <si>
    <t>IBVS 6094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</si>
  <si>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</si>
  <si>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</si>
  <si>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</si>
  <si>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</si>
  <si>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</si>
  <si>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</si>
  <si>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</si>
  <si>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</si>
  <si>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</si>
  <si>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</si>
  <si>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</si>
  <si>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</si>
  <si>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2450514.3624 </t>
  </si>
  <si>
    <t> 06.03.1997 20:41 </t>
  </si>
  <si>
    <t> -0.0001 </t>
  </si>
  <si>
    <t>E </t>
  </si>
  <si>
    <t>?</t>
  </si>
  <si>
    <t> R.Diethelm </t>
  </si>
  <si>
    <t> BBS 114 </t>
  </si>
  <si>
    <t>2451867.491 </t>
  </si>
  <si>
    <t> 18.11.2000 23:47 </t>
  </si>
  <si>
    <t> 0.010 </t>
  </si>
  <si>
    <t> BBS 124 </t>
  </si>
  <si>
    <t>2451924.3162 </t>
  </si>
  <si>
    <t> 14.01.2001 19:35 </t>
  </si>
  <si>
    <t> 0.0057 </t>
  </si>
  <si>
    <t>2451924.3177 </t>
  </si>
  <si>
    <t> 14.01.2001 19:37 </t>
  </si>
  <si>
    <t> 0.0072 </t>
  </si>
  <si>
    <t> M.Zejda </t>
  </si>
  <si>
    <t>IBVS 5583 </t>
  </si>
  <si>
    <t>2453381.2911 </t>
  </si>
  <si>
    <t> 10.01.2005 18:59 </t>
  </si>
  <si>
    <t> 0.0016 </t>
  </si>
  <si>
    <t> R. Diethelm </t>
  </si>
  <si>
    <t>IBVS 5653 </t>
  </si>
  <si>
    <t>2454756.9339 </t>
  </si>
  <si>
    <t> 17.10.2008 10:24 </t>
  </si>
  <si>
    <t> -0.0102 </t>
  </si>
  <si>
    <t>C </t>
  </si>
  <si>
    <t>IBVS 5871 </t>
  </si>
  <si>
    <t>2454830.4196 </t>
  </si>
  <si>
    <t> 29.12.2008 22:04 </t>
  </si>
  <si>
    <t> -0.0103 </t>
  </si>
  <si>
    <t>o</t>
  </si>
  <si>
    <t> U.Schmidt </t>
  </si>
  <si>
    <t>BAVM 203 </t>
  </si>
  <si>
    <t>2455545.6719 </t>
  </si>
  <si>
    <t> 15.12.2010 04:07 </t>
  </si>
  <si>
    <t> -0.0201 </t>
  </si>
  <si>
    <t>IBVS 5960 </t>
  </si>
  <si>
    <t>2455934.6555 </t>
  </si>
  <si>
    <t> 08.01.2012 03:43 </t>
  </si>
  <si>
    <t> -0.0214 </t>
  </si>
  <si>
    <t>IBVS 6011 </t>
  </si>
  <si>
    <t>2456291.3029 </t>
  </si>
  <si>
    <t> 29.12.2012 19:16 </t>
  </si>
  <si>
    <t> -0.0252 </t>
  </si>
  <si>
    <t> N.Ruocco </t>
  </si>
  <si>
    <t>IBVS 6094 </t>
  </si>
  <si>
    <t>JBAV, 60</t>
  </si>
  <si>
    <t>II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</si>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</sst>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6" fontId="20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IV Tau - O-C Diagr.</a:t>
            </a:r>
          </a:p>
        </c:rich>
      </c:tx>
      <c:layout>
        <c:manualLayout>
          <c:xMode val="edge"/>
          <c:yMode val="edge"/>
          <c:x val="0.3512401032515563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769252958613219"/>
          <c:w val="0.7623974633561702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11934</c:v>
                </c:pt>
                <c:pt idx="2">
                  <c:v>13315</c:v>
                </c:pt>
                <c:pt idx="3">
                  <c:v>13373</c:v>
                </c:pt>
                <c:pt idx="4">
                  <c:v>13373</c:v>
                </c:pt>
                <c:pt idx="5">
                  <c:v>14860</c:v>
                </c:pt>
                <c:pt idx="6">
                  <c:v>16264</c:v>
                </c:pt>
                <c:pt idx="7">
                  <c:v>16339</c:v>
                </c:pt>
                <c:pt idx="8">
                  <c:v>17069</c:v>
                </c:pt>
                <c:pt idx="9">
                  <c:v>17466</c:v>
                </c:pt>
                <c:pt idx="10">
                  <c:v>17830</c:v>
                </c:pt>
                <c:pt idx="11">
                  <c:v>20875.5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6D-4140-A9F7-63A8ACB0B26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11934</c:v>
                </c:pt>
                <c:pt idx="2">
                  <c:v>13315</c:v>
                </c:pt>
                <c:pt idx="3">
                  <c:v>13373</c:v>
                </c:pt>
                <c:pt idx="4">
                  <c:v>13373</c:v>
                </c:pt>
                <c:pt idx="5">
                  <c:v>14860</c:v>
                </c:pt>
                <c:pt idx="6">
                  <c:v>16264</c:v>
                </c:pt>
                <c:pt idx="7">
                  <c:v>16339</c:v>
                </c:pt>
                <c:pt idx="8">
                  <c:v>17069</c:v>
                </c:pt>
                <c:pt idx="9">
                  <c:v>17466</c:v>
                </c:pt>
                <c:pt idx="10">
                  <c:v>17830</c:v>
                </c:pt>
                <c:pt idx="11">
                  <c:v>20875.5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-7.4000003223773092E-5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6D-4140-A9F7-63A8ACB0B26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11934</c:v>
                </c:pt>
                <c:pt idx="2">
                  <c:v>13315</c:v>
                </c:pt>
                <c:pt idx="3">
                  <c:v>13373</c:v>
                </c:pt>
                <c:pt idx="4">
                  <c:v>13373</c:v>
                </c:pt>
                <c:pt idx="5">
                  <c:v>14860</c:v>
                </c:pt>
                <c:pt idx="6">
                  <c:v>16264</c:v>
                </c:pt>
                <c:pt idx="7">
                  <c:v>16339</c:v>
                </c:pt>
                <c:pt idx="8">
                  <c:v>17069</c:v>
                </c:pt>
                <c:pt idx="9">
                  <c:v>17466</c:v>
                </c:pt>
                <c:pt idx="10">
                  <c:v>17830</c:v>
                </c:pt>
                <c:pt idx="11">
                  <c:v>20875.5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">
                  <c:v>7.1969999989960343E-3</c:v>
                </c:pt>
                <c:pt idx="5">
                  <c:v>1.640000002225861E-3</c:v>
                </c:pt>
                <c:pt idx="6">
                  <c:v>-1.0203999998338986E-2</c:v>
                </c:pt>
                <c:pt idx="8">
                  <c:v>-2.0059000002220273E-2</c:v>
                </c:pt>
                <c:pt idx="9">
                  <c:v>-2.1425999999337364E-2</c:v>
                </c:pt>
                <c:pt idx="10">
                  <c:v>-2.5229999999282882E-2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6D-4140-A9F7-63A8ACB0B26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11934</c:v>
                </c:pt>
                <c:pt idx="2">
                  <c:v>13315</c:v>
                </c:pt>
                <c:pt idx="3">
                  <c:v>13373</c:v>
                </c:pt>
                <c:pt idx="4">
                  <c:v>13373</c:v>
                </c:pt>
                <c:pt idx="5">
                  <c:v>14860</c:v>
                </c:pt>
                <c:pt idx="6">
                  <c:v>16264</c:v>
                </c:pt>
                <c:pt idx="7">
                  <c:v>16339</c:v>
                </c:pt>
                <c:pt idx="8">
                  <c:v>17069</c:v>
                </c:pt>
                <c:pt idx="9">
                  <c:v>17466</c:v>
                </c:pt>
                <c:pt idx="10">
                  <c:v>17830</c:v>
                </c:pt>
                <c:pt idx="11">
                  <c:v>20875.5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">
                  <c:v>9.5349999974132515E-3</c:v>
                </c:pt>
                <c:pt idx="3">
                  <c:v>5.6970000005094334E-3</c:v>
                </c:pt>
                <c:pt idx="7">
                  <c:v>-1.0329000004276168E-2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6D-4140-A9F7-63A8ACB0B26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11934</c:v>
                </c:pt>
                <c:pt idx="2">
                  <c:v>13315</c:v>
                </c:pt>
                <c:pt idx="3">
                  <c:v>13373</c:v>
                </c:pt>
                <c:pt idx="4">
                  <c:v>13373</c:v>
                </c:pt>
                <c:pt idx="5">
                  <c:v>14860</c:v>
                </c:pt>
                <c:pt idx="6">
                  <c:v>16264</c:v>
                </c:pt>
                <c:pt idx="7">
                  <c:v>16339</c:v>
                </c:pt>
                <c:pt idx="8">
                  <c:v>17069</c:v>
                </c:pt>
                <c:pt idx="9">
                  <c:v>17466</c:v>
                </c:pt>
                <c:pt idx="10">
                  <c:v>17830</c:v>
                </c:pt>
                <c:pt idx="11">
                  <c:v>20875.5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11">
                  <c:v>-4.8130499999388121E-2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6D-4140-A9F7-63A8ACB0B26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11934</c:v>
                </c:pt>
                <c:pt idx="2">
                  <c:v>13315</c:v>
                </c:pt>
                <c:pt idx="3">
                  <c:v>13373</c:v>
                </c:pt>
                <c:pt idx="4">
                  <c:v>13373</c:v>
                </c:pt>
                <c:pt idx="5">
                  <c:v>14860</c:v>
                </c:pt>
                <c:pt idx="6">
                  <c:v>16264</c:v>
                </c:pt>
                <c:pt idx="7">
                  <c:v>16339</c:v>
                </c:pt>
                <c:pt idx="8">
                  <c:v>17069</c:v>
                </c:pt>
                <c:pt idx="9">
                  <c:v>17466</c:v>
                </c:pt>
                <c:pt idx="10">
                  <c:v>17830</c:v>
                </c:pt>
                <c:pt idx="11">
                  <c:v>20875.5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6D-4140-A9F7-63A8ACB0B26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1.6000000000000001E-3</c:v>
                  </c:pt>
                  <c:pt idx="4">
                    <c:v>1.8E-3</c:v>
                  </c:pt>
                  <c:pt idx="5">
                    <c:v>1.5E-3</c:v>
                  </c:pt>
                  <c:pt idx="6">
                    <c:v>8.0000000000000004E-4</c:v>
                  </c:pt>
                  <c:pt idx="8">
                    <c:v>2.9999999999999997E-4</c:v>
                  </c:pt>
                  <c:pt idx="9">
                    <c:v>6.9999999999999999E-4</c:v>
                  </c:pt>
                  <c:pt idx="10">
                    <c:v>2E-3</c:v>
                  </c:pt>
                  <c:pt idx="11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11934</c:v>
                </c:pt>
                <c:pt idx="2">
                  <c:v>13315</c:v>
                </c:pt>
                <c:pt idx="3">
                  <c:v>13373</c:v>
                </c:pt>
                <c:pt idx="4">
                  <c:v>13373</c:v>
                </c:pt>
                <c:pt idx="5">
                  <c:v>14860</c:v>
                </c:pt>
                <c:pt idx="6">
                  <c:v>16264</c:v>
                </c:pt>
                <c:pt idx="7">
                  <c:v>16339</c:v>
                </c:pt>
                <c:pt idx="8">
                  <c:v>17069</c:v>
                </c:pt>
                <c:pt idx="9">
                  <c:v>17466</c:v>
                </c:pt>
                <c:pt idx="10">
                  <c:v>17830</c:v>
                </c:pt>
                <c:pt idx="11">
                  <c:v>20875.5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6D-4140-A9F7-63A8ACB0B26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11934</c:v>
                </c:pt>
                <c:pt idx="2">
                  <c:v>13315</c:v>
                </c:pt>
                <c:pt idx="3">
                  <c:v>13373</c:v>
                </c:pt>
                <c:pt idx="4">
                  <c:v>13373</c:v>
                </c:pt>
                <c:pt idx="5">
                  <c:v>14860</c:v>
                </c:pt>
                <c:pt idx="6">
                  <c:v>16264</c:v>
                </c:pt>
                <c:pt idx="7">
                  <c:v>16339</c:v>
                </c:pt>
                <c:pt idx="8">
                  <c:v>17069</c:v>
                </c:pt>
                <c:pt idx="9">
                  <c:v>17466</c:v>
                </c:pt>
                <c:pt idx="10">
                  <c:v>17830</c:v>
                </c:pt>
                <c:pt idx="11">
                  <c:v>20875.5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0.1083320535256134</c:v>
                </c:pt>
                <c:pt idx="1">
                  <c:v>1.9651313431930717E-2</c:v>
                </c:pt>
                <c:pt idx="2">
                  <c:v>9.3891966170006197E-3</c:v>
                </c:pt>
                <c:pt idx="3">
                  <c:v>8.9582025726371445E-3</c:v>
                </c:pt>
                <c:pt idx="4">
                  <c:v>8.9582025726371445E-3</c:v>
                </c:pt>
                <c:pt idx="5">
                  <c:v>-2.0915930130261801E-3</c:v>
                </c:pt>
                <c:pt idx="6">
                  <c:v>-1.2524621259341784E-2</c:v>
                </c:pt>
                <c:pt idx="7">
                  <c:v>-1.3081941144294548E-2</c:v>
                </c:pt>
                <c:pt idx="8">
                  <c:v>-1.8506521357834704E-2</c:v>
                </c:pt>
                <c:pt idx="9">
                  <c:v>-2.1456601282184629E-2</c:v>
                </c:pt>
                <c:pt idx="10">
                  <c:v>-2.4161460457155365E-2</c:v>
                </c:pt>
                <c:pt idx="11">
                  <c:v>-4.6792363252136981E-2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6D-4140-A9F7-63A8ACB0B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47936"/>
        <c:axId val="1"/>
      </c:scatterChart>
      <c:valAx>
        <c:axId val="728447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47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2000129214617399"/>
          <c:w val="0.9752076961454199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14</xdr:col>
      <xdr:colOff>114300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17A630F-DD49-EC00-4655-81A4FF7607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onkoly.hu/cgi-bin/IBVS?5871" TargetMode="External"/><Relationship Id="rId7" Type="http://schemas.openxmlformats.org/officeDocument/2006/relationships/hyperlink" Target="http://www.konkoly.hu/cgi-bin/IBVS?6094" TargetMode="External"/><Relationship Id="rId2" Type="http://schemas.openxmlformats.org/officeDocument/2006/relationships/hyperlink" Target="http://www.konkoly.hu/cgi-bin/IBVS?5653" TargetMode="External"/><Relationship Id="rId1" Type="http://schemas.openxmlformats.org/officeDocument/2006/relationships/hyperlink" Target="http://www.konkoly.hu/cgi-bin/IBVS?5583" TargetMode="External"/><Relationship Id="rId6" Type="http://schemas.openxmlformats.org/officeDocument/2006/relationships/hyperlink" Target="http://www.konkoly.hu/cgi-bin/IBVS?6011" TargetMode="External"/><Relationship Id="rId5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A13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25</v>
      </c>
      <c r="B2" s="12" t="s">
        <v>35</v>
      </c>
    </row>
    <row r="4" spans="1:6" ht="14.25" thickTop="1" thickBot="1" x14ac:dyDescent="0.25">
      <c r="A4" s="7" t="s">
        <v>0</v>
      </c>
      <c r="C4" s="3">
        <v>38821.298000000003</v>
      </c>
      <c r="D4" s="4">
        <v>0.97981099999999999</v>
      </c>
    </row>
    <row r="5" spans="1:6" ht="13.5" thickTop="1" x14ac:dyDescent="0.2">
      <c r="A5" s="16" t="s">
        <v>39</v>
      </c>
      <c r="B5" s="17"/>
      <c r="C5" s="18">
        <v>-9.5</v>
      </c>
      <c r="D5" s="17" t="s">
        <v>40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38821.298000000003</v>
      </c>
    </row>
    <row r="8" spans="1:6" x14ac:dyDescent="0.2">
      <c r="A8" t="s">
        <v>3</v>
      </c>
      <c r="C8">
        <f>+D4</f>
        <v>0.97981099999999999</v>
      </c>
    </row>
    <row r="9" spans="1:6" x14ac:dyDescent="0.2">
      <c r="A9" s="33" t="s">
        <v>44</v>
      </c>
      <c r="B9" s="34">
        <v>23</v>
      </c>
      <c r="C9" s="31" t="str">
        <f>"F"&amp;B9</f>
        <v>F23</v>
      </c>
      <c r="D9" s="32" t="str">
        <f>"G"&amp;B9</f>
        <v>G23</v>
      </c>
    </row>
    <row r="10" spans="1:6" ht="13.5" thickBot="1" x14ac:dyDescent="0.25">
      <c r="A10" s="17"/>
      <c r="B10" s="17"/>
      <c r="C10" s="6" t="s">
        <v>21</v>
      </c>
      <c r="D10" s="6" t="s">
        <v>22</v>
      </c>
      <c r="E10" s="17"/>
    </row>
    <row r="11" spans="1:6" x14ac:dyDescent="0.2">
      <c r="A11" s="17" t="s">
        <v>16</v>
      </c>
      <c r="B11" s="17"/>
      <c r="C11" s="30">
        <f ca="1">INTERCEPT(INDIRECT($D$9):G992,INDIRECT($C$9):F992)</f>
        <v>0.1083320535256134</v>
      </c>
      <c r="D11" s="5"/>
      <c r="E11" s="17"/>
    </row>
    <row r="12" spans="1:6" x14ac:dyDescent="0.2">
      <c r="A12" s="17" t="s">
        <v>17</v>
      </c>
      <c r="B12" s="17"/>
      <c r="C12" s="30">
        <f ca="1">SLOPE(INDIRECT($D$9):G992,INDIRECT($C$9):F992)</f>
        <v>-7.4309317993700925E-6</v>
      </c>
      <c r="D12" s="5"/>
      <c r="E12" s="17"/>
    </row>
    <row r="13" spans="1:6" x14ac:dyDescent="0.2">
      <c r="A13" s="17" t="s">
        <v>20</v>
      </c>
      <c r="B13" s="17"/>
      <c r="C13" s="5" t="s">
        <v>14</v>
      </c>
    </row>
    <row r="14" spans="1:6" x14ac:dyDescent="0.2">
      <c r="A14" s="17"/>
      <c r="B14" s="17"/>
      <c r="C14" s="17"/>
    </row>
    <row r="15" spans="1:6" x14ac:dyDescent="0.2">
      <c r="A15" s="19" t="s">
        <v>18</v>
      </c>
      <c r="B15" s="17"/>
      <c r="C15" s="20">
        <f ca="1">(C7+C11)+(C8+C12)*INT(MAX(F21:F3533))</f>
        <v>59274.805836352214</v>
      </c>
      <c r="E15" s="21" t="s">
        <v>46</v>
      </c>
      <c r="F15" s="18">
        <v>1</v>
      </c>
    </row>
    <row r="16" spans="1:6" x14ac:dyDescent="0.2">
      <c r="A16" s="23" t="s">
        <v>4</v>
      </c>
      <c r="B16" s="17"/>
      <c r="C16" s="24">
        <f ca="1">+C8+C12</f>
        <v>0.97980356906820065</v>
      </c>
      <c r="E16" s="21" t="s">
        <v>41</v>
      </c>
      <c r="F16" s="22">
        <f ca="1">NOW()+15018.5+$C$5/24</f>
        <v>59968.838506481479</v>
      </c>
    </row>
    <row r="17" spans="1:31" ht="13.5" thickBot="1" x14ac:dyDescent="0.25">
      <c r="A17" s="21" t="s">
        <v>37</v>
      </c>
      <c r="B17" s="17"/>
      <c r="C17" s="17">
        <f>COUNT(C21:C2191)</f>
        <v>12</v>
      </c>
      <c r="E17" s="21" t="s">
        <v>47</v>
      </c>
      <c r="F17" s="22">
        <f ca="1">ROUND(2*(F16-$C$7)/$C$8,0)/2+F15</f>
        <v>21584.5</v>
      </c>
    </row>
    <row r="18" spans="1:31" ht="14.25" thickTop="1" thickBot="1" x14ac:dyDescent="0.25">
      <c r="A18" s="23" t="s">
        <v>5</v>
      </c>
      <c r="B18" s="17"/>
      <c r="C18" s="26">
        <f ca="1">+C15</f>
        <v>59274.805836352214</v>
      </c>
      <c r="D18" s="27">
        <f ca="1">+C16</f>
        <v>0.97980356906820065</v>
      </c>
      <c r="E18" s="21" t="s">
        <v>42</v>
      </c>
      <c r="F18" s="32">
        <f ca="1">ROUND(2*(F16-$C$15)/$C$16,0)/2+F15</f>
        <v>709.5</v>
      </c>
    </row>
    <row r="19" spans="1:31" ht="13.5" thickTop="1" x14ac:dyDescent="0.2">
      <c r="E19" s="21" t="s">
        <v>43</v>
      </c>
      <c r="F19" s="25">
        <f ca="1">+$C$15+$C$16*F18-15018.5-$C$5/24</f>
        <v>44951.872301939438</v>
      </c>
    </row>
    <row r="20" spans="1:3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31</v>
      </c>
      <c r="J20" s="9" t="s">
        <v>34</v>
      </c>
      <c r="K20" s="9" t="s">
        <v>19</v>
      </c>
      <c r="L20" s="9" t="s">
        <v>113</v>
      </c>
      <c r="M20" s="9" t="s">
        <v>26</v>
      </c>
      <c r="N20" s="9" t="s">
        <v>27</v>
      </c>
      <c r="O20" s="9" t="s">
        <v>24</v>
      </c>
      <c r="P20" s="8" t="s">
        <v>23</v>
      </c>
      <c r="Q20" s="6" t="s">
        <v>15</v>
      </c>
    </row>
    <row r="21" spans="1:31" x14ac:dyDescent="0.2">
      <c r="A21" t="s">
        <v>12</v>
      </c>
      <c r="C21" s="29">
        <v>38821.298000000003</v>
      </c>
      <c r="D21" s="29" t="s">
        <v>14</v>
      </c>
      <c r="E21">
        <f t="shared" ref="E21:E31" si="0">+(C21-C$7)/C$8</f>
        <v>0</v>
      </c>
      <c r="F21">
        <f t="shared" ref="F21:F31" si="1">ROUND(2*E21,0)/2</f>
        <v>0</v>
      </c>
      <c r="G21">
        <f t="shared" ref="G21:G31" si="2">+C21-(C$7+F21*C$8)</f>
        <v>0</v>
      </c>
      <c r="H21">
        <f>+G21</f>
        <v>0</v>
      </c>
      <c r="O21">
        <f t="shared" ref="O21:O31" ca="1" si="3">+C$11+C$12*$F21</f>
        <v>0.1083320535256134</v>
      </c>
      <c r="Q21" s="2">
        <f t="shared" ref="Q21:Q31" si="4">+C21-15018.5</f>
        <v>23802.798000000003</v>
      </c>
    </row>
    <row r="22" spans="1:31" x14ac:dyDescent="0.2">
      <c r="A22" t="s">
        <v>29</v>
      </c>
      <c r="C22" s="29">
        <v>50514.362399999998</v>
      </c>
      <c r="D22" s="29">
        <v>1.6000000000000001E-3</v>
      </c>
      <c r="E22">
        <f t="shared" si="0"/>
        <v>11933.999924475225</v>
      </c>
      <c r="F22">
        <f t="shared" si="1"/>
        <v>11934</v>
      </c>
      <c r="G22">
        <f t="shared" si="2"/>
        <v>-7.4000003223773092E-5</v>
      </c>
      <c r="I22">
        <f>+G22</f>
        <v>-7.4000003223773092E-5</v>
      </c>
      <c r="O22">
        <f t="shared" ca="1" si="3"/>
        <v>1.9651313431930717E-2</v>
      </c>
      <c r="Q22" s="2">
        <f t="shared" si="4"/>
        <v>35495.862399999998</v>
      </c>
      <c r="AA22">
        <v>12</v>
      </c>
      <c r="AC22" t="s">
        <v>28</v>
      </c>
      <c r="AE22" t="s">
        <v>30</v>
      </c>
    </row>
    <row r="23" spans="1:31" x14ac:dyDescent="0.2">
      <c r="A23" s="54" t="s">
        <v>73</v>
      </c>
      <c r="B23" s="56" t="s">
        <v>33</v>
      </c>
      <c r="C23" s="55">
        <v>51867.491000000002</v>
      </c>
      <c r="D23" s="29"/>
      <c r="E23">
        <f t="shared" si="0"/>
        <v>13315.009731468619</v>
      </c>
      <c r="F23">
        <f t="shared" si="1"/>
        <v>13315</v>
      </c>
      <c r="G23">
        <f t="shared" si="2"/>
        <v>9.5349999974132515E-3</v>
      </c>
      <c r="K23">
        <f>+G23</f>
        <v>9.5349999974132515E-3</v>
      </c>
      <c r="O23">
        <f t="shared" ca="1" si="3"/>
        <v>9.3891966170006197E-3</v>
      </c>
      <c r="Q23" s="2">
        <f t="shared" si="4"/>
        <v>36848.991000000002</v>
      </c>
    </row>
    <row r="24" spans="1:31" x14ac:dyDescent="0.2">
      <c r="A24" s="54" t="s">
        <v>73</v>
      </c>
      <c r="B24" s="56" t="s">
        <v>33</v>
      </c>
      <c r="C24" s="55">
        <v>51924.316200000001</v>
      </c>
      <c r="D24" s="29"/>
      <c r="E24">
        <f t="shared" si="0"/>
        <v>13373.005814386652</v>
      </c>
      <c r="F24">
        <f t="shared" si="1"/>
        <v>13373</v>
      </c>
      <c r="G24">
        <f t="shared" si="2"/>
        <v>5.6970000005094334E-3</v>
      </c>
      <c r="K24">
        <f>+G24</f>
        <v>5.6970000005094334E-3</v>
      </c>
      <c r="O24">
        <f t="shared" ca="1" si="3"/>
        <v>8.9582025726371445E-3</v>
      </c>
      <c r="Q24" s="2">
        <f t="shared" si="4"/>
        <v>36905.816200000001</v>
      </c>
    </row>
    <row r="25" spans="1:31" x14ac:dyDescent="0.2">
      <c r="A25" s="10" t="s">
        <v>32</v>
      </c>
      <c r="B25" s="11" t="s">
        <v>33</v>
      </c>
      <c r="C25" s="10">
        <v>51924.3177</v>
      </c>
      <c r="D25" s="28">
        <v>1.8E-3</v>
      </c>
      <c r="E25">
        <f t="shared" si="0"/>
        <v>13373.007345294141</v>
      </c>
      <c r="F25">
        <f t="shared" si="1"/>
        <v>13373</v>
      </c>
      <c r="G25">
        <f t="shared" si="2"/>
        <v>7.1969999989960343E-3</v>
      </c>
      <c r="J25">
        <f>+G25</f>
        <v>7.1969999989960343E-3</v>
      </c>
      <c r="O25">
        <f t="shared" ca="1" si="3"/>
        <v>8.9582025726371445E-3</v>
      </c>
      <c r="Q25" s="2">
        <f t="shared" si="4"/>
        <v>36905.8177</v>
      </c>
    </row>
    <row r="26" spans="1:31" x14ac:dyDescent="0.2">
      <c r="A26" s="13" t="s">
        <v>38</v>
      </c>
      <c r="B26" s="14" t="s">
        <v>33</v>
      </c>
      <c r="C26" s="15">
        <v>53381.291100000002</v>
      </c>
      <c r="D26" s="15">
        <v>1.5E-3</v>
      </c>
      <c r="E26">
        <f t="shared" si="0"/>
        <v>14860.001673792191</v>
      </c>
      <c r="F26">
        <f t="shared" si="1"/>
        <v>14860</v>
      </c>
      <c r="G26">
        <f t="shared" si="2"/>
        <v>1.640000002225861E-3</v>
      </c>
      <c r="J26">
        <f>+G26</f>
        <v>1.640000002225861E-3</v>
      </c>
      <c r="O26">
        <f t="shared" ca="1" si="3"/>
        <v>-2.0915930130261801E-3</v>
      </c>
      <c r="Q26" s="2">
        <f t="shared" si="4"/>
        <v>38362.791100000002</v>
      </c>
    </row>
    <row r="27" spans="1:31" x14ac:dyDescent="0.2">
      <c r="A27" s="15" t="s">
        <v>45</v>
      </c>
      <c r="B27" s="14" t="s">
        <v>33</v>
      </c>
      <c r="C27" s="15">
        <v>54756.933900000004</v>
      </c>
      <c r="D27" s="15">
        <v>8.0000000000000004E-4</v>
      </c>
      <c r="E27">
        <f t="shared" si="0"/>
        <v>16263.98958574664</v>
      </c>
      <c r="F27">
        <f t="shared" si="1"/>
        <v>16264</v>
      </c>
      <c r="G27">
        <f t="shared" si="2"/>
        <v>-1.0203999998338986E-2</v>
      </c>
      <c r="J27">
        <f>+G27</f>
        <v>-1.0203999998338986E-2</v>
      </c>
      <c r="O27">
        <f t="shared" ca="1" si="3"/>
        <v>-1.2524621259341784E-2</v>
      </c>
      <c r="Q27" s="2">
        <f t="shared" si="4"/>
        <v>39738.433900000004</v>
      </c>
    </row>
    <row r="28" spans="1:31" x14ac:dyDescent="0.2">
      <c r="A28" s="54" t="s">
        <v>97</v>
      </c>
      <c r="B28" s="56" t="s">
        <v>33</v>
      </c>
      <c r="C28" s="55">
        <v>54830.419600000001</v>
      </c>
      <c r="D28" s="29"/>
      <c r="E28">
        <f t="shared" si="0"/>
        <v>16338.989458171014</v>
      </c>
      <c r="F28">
        <f t="shared" si="1"/>
        <v>16339</v>
      </c>
      <c r="G28">
        <f t="shared" si="2"/>
        <v>-1.0329000004276168E-2</v>
      </c>
      <c r="K28">
        <f>+G28</f>
        <v>-1.0329000004276168E-2</v>
      </c>
      <c r="O28">
        <f t="shared" ca="1" si="3"/>
        <v>-1.3081941144294548E-2</v>
      </c>
      <c r="Q28" s="2">
        <f t="shared" si="4"/>
        <v>39811.919600000001</v>
      </c>
    </row>
    <row r="29" spans="1:31" x14ac:dyDescent="0.2">
      <c r="A29" s="13" t="s">
        <v>48</v>
      </c>
      <c r="B29" s="14" t="s">
        <v>33</v>
      </c>
      <c r="C29" s="15">
        <v>55545.671900000001</v>
      </c>
      <c r="D29" s="15">
        <v>2.9999999999999997E-4</v>
      </c>
      <c r="E29">
        <f t="shared" si="0"/>
        <v>17068.97952768442</v>
      </c>
      <c r="F29">
        <f t="shared" si="1"/>
        <v>17069</v>
      </c>
      <c r="G29">
        <f t="shared" si="2"/>
        <v>-2.0059000002220273E-2</v>
      </c>
      <c r="J29">
        <f>+G29</f>
        <v>-2.0059000002220273E-2</v>
      </c>
      <c r="O29">
        <f t="shared" ca="1" si="3"/>
        <v>-1.8506521357834704E-2</v>
      </c>
      <c r="Q29" s="2">
        <f t="shared" si="4"/>
        <v>40527.171900000001</v>
      </c>
    </row>
    <row r="30" spans="1:31" x14ac:dyDescent="0.2">
      <c r="A30" s="35" t="s">
        <v>49</v>
      </c>
      <c r="B30" s="36" t="s">
        <v>33</v>
      </c>
      <c r="C30" s="35">
        <v>55934.655500000001</v>
      </c>
      <c r="D30" s="35">
        <v>6.9999999999999999E-4</v>
      </c>
      <c r="E30">
        <f t="shared" si="0"/>
        <v>17465.978132517394</v>
      </c>
      <c r="F30">
        <f t="shared" si="1"/>
        <v>17466</v>
      </c>
      <c r="G30">
        <f t="shared" si="2"/>
        <v>-2.1425999999337364E-2</v>
      </c>
      <c r="J30">
        <f>+G30</f>
        <v>-2.1425999999337364E-2</v>
      </c>
      <c r="O30">
        <f t="shared" ca="1" si="3"/>
        <v>-2.1456601282184629E-2</v>
      </c>
      <c r="Q30" s="2">
        <f t="shared" si="4"/>
        <v>40916.155500000001</v>
      </c>
    </row>
    <row r="31" spans="1:31" x14ac:dyDescent="0.2">
      <c r="A31" s="37" t="s">
        <v>50</v>
      </c>
      <c r="B31" s="38" t="s">
        <v>51</v>
      </c>
      <c r="C31" s="39">
        <v>56291.302900000002</v>
      </c>
      <c r="D31" s="39">
        <v>2E-3</v>
      </c>
      <c r="E31">
        <f t="shared" si="0"/>
        <v>17829.974250135994</v>
      </c>
      <c r="F31">
        <f t="shared" si="1"/>
        <v>17830</v>
      </c>
      <c r="G31">
        <f t="shared" si="2"/>
        <v>-2.5229999999282882E-2</v>
      </c>
      <c r="J31">
        <f>+G31</f>
        <v>-2.5229999999282882E-2</v>
      </c>
      <c r="O31">
        <f t="shared" ca="1" si="3"/>
        <v>-2.4161460457155365E-2</v>
      </c>
      <c r="Q31" s="2">
        <f t="shared" si="4"/>
        <v>41272.802900000002</v>
      </c>
    </row>
    <row r="32" spans="1:31" x14ac:dyDescent="0.2">
      <c r="A32" s="57" t="s">
        <v>111</v>
      </c>
      <c r="B32" s="58" t="s">
        <v>112</v>
      </c>
      <c r="C32" s="59">
        <v>59275.294399999999</v>
      </c>
      <c r="D32" s="57">
        <v>5.0000000000000001E-4</v>
      </c>
      <c r="E32">
        <f t="shared" ref="E32" si="5">+(C32-C$7)/C$8</f>
        <v>20875.450877771324</v>
      </c>
      <c r="F32">
        <f t="shared" ref="F32" si="6">ROUND(2*E32,0)/2</f>
        <v>20875.5</v>
      </c>
      <c r="G32">
        <f t="shared" ref="G32" si="7">+C32-(C$7+F32*C$8)</f>
        <v>-4.8130499999388121E-2</v>
      </c>
      <c r="L32">
        <f>+G32</f>
        <v>-4.8130499999388121E-2</v>
      </c>
      <c r="O32">
        <f t="shared" ref="O32" ca="1" si="8">+C$11+C$12*$F32</f>
        <v>-4.6792363252136981E-2</v>
      </c>
      <c r="Q32" s="2">
        <f t="shared" ref="Q32" si="9">+C32-15018.5</f>
        <v>44256.794399999999</v>
      </c>
    </row>
    <row r="33" spans="3:4" x14ac:dyDescent="0.2">
      <c r="C33" s="29"/>
      <c r="D33" s="29"/>
    </row>
    <row r="34" spans="3:4" x14ac:dyDescent="0.2">
      <c r="C34" s="29"/>
      <c r="D34" s="29"/>
    </row>
    <row r="35" spans="3:4" x14ac:dyDescent="0.2">
      <c r="D35" s="5"/>
    </row>
    <row r="36" spans="3:4" x14ac:dyDescent="0.2">
      <c r="D36" s="5"/>
    </row>
    <row r="37" spans="3:4" x14ac:dyDescent="0.2">
      <c r="D37" s="5"/>
    </row>
    <row r="38" spans="3:4" x14ac:dyDescent="0.2">
      <c r="D38" s="5"/>
    </row>
    <row r="39" spans="3:4" x14ac:dyDescent="0.2">
      <c r="D39" s="5"/>
    </row>
    <row r="40" spans="3:4" x14ac:dyDescent="0.2">
      <c r="D40" s="5"/>
    </row>
    <row r="41" spans="3:4" x14ac:dyDescent="0.2">
      <c r="D41" s="5"/>
    </row>
    <row r="42" spans="3:4" x14ac:dyDescent="0.2">
      <c r="D42" s="5"/>
    </row>
    <row r="43" spans="3:4" x14ac:dyDescent="0.2">
      <c r="D43" s="5"/>
    </row>
    <row r="44" spans="3:4" x14ac:dyDescent="0.2">
      <c r="D44" s="5"/>
    </row>
    <row r="45" spans="3:4" x14ac:dyDescent="0.2">
      <c r="D45" s="5"/>
    </row>
    <row r="46" spans="3:4" x14ac:dyDescent="0.2">
      <c r="D46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5"/>
  <sheetViews>
    <sheetView workbookViewId="0">
      <selection activeCell="A18" sqref="A18:C20"/>
    </sheetView>
  </sheetViews>
  <sheetFormatPr defaultRowHeight="12.75" x14ac:dyDescent="0.2"/>
  <cols>
    <col min="1" max="1" width="19.7109375" style="41" customWidth="1"/>
    <col min="2" max="2" width="4.42578125" style="17" customWidth="1"/>
    <col min="3" max="3" width="12.7109375" style="41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41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40" t="s">
        <v>52</v>
      </c>
      <c r="I1" s="42" t="s">
        <v>53</v>
      </c>
      <c r="J1" s="43" t="s">
        <v>54</v>
      </c>
    </row>
    <row r="2" spans="1:16" x14ac:dyDescent="0.2">
      <c r="I2" s="44" t="s">
        <v>55</v>
      </c>
      <c r="J2" s="45" t="s">
        <v>56</v>
      </c>
    </row>
    <row r="3" spans="1:16" x14ac:dyDescent="0.2">
      <c r="A3" s="46" t="s">
        <v>57</v>
      </c>
      <c r="I3" s="44" t="s">
        <v>58</v>
      </c>
      <c r="J3" s="45" t="s">
        <v>59</v>
      </c>
    </row>
    <row r="4" spans="1:16" x14ac:dyDescent="0.2">
      <c r="I4" s="44" t="s">
        <v>60</v>
      </c>
      <c r="J4" s="45" t="s">
        <v>59</v>
      </c>
    </row>
    <row r="5" spans="1:16" ht="13.5" thickBot="1" x14ac:dyDescent="0.25">
      <c r="I5" s="47" t="s">
        <v>61</v>
      </c>
      <c r="J5" s="48" t="s">
        <v>62</v>
      </c>
    </row>
    <row r="10" spans="1:16" ht="13.5" thickBot="1" x14ac:dyDescent="0.25"/>
    <row r="11" spans="1:16" ht="12.75" customHeight="1" thickBot="1" x14ac:dyDescent="0.25">
      <c r="A11" s="41" t="str">
        <f t="shared" ref="A11:A20" si="0">P11</f>
        <v> BBS 114 </v>
      </c>
      <c r="B11" s="5" t="str">
        <f t="shared" ref="B11:B20" si="1">IF(H11=INT(H11),"I","II")</f>
        <v>I</v>
      </c>
      <c r="C11" s="41">
        <f t="shared" ref="C11:C20" si="2">1*G11</f>
        <v>50514.362399999998</v>
      </c>
      <c r="D11" s="17" t="str">
        <f t="shared" ref="D11:D20" si="3">VLOOKUP(F11,I$1:J$5,2,FALSE)</f>
        <v>vis</v>
      </c>
      <c r="E11" s="49">
        <f>VLOOKUP(C11,Active!C$21:E$973,3,FALSE)</f>
        <v>11933.999924475225</v>
      </c>
      <c r="F11" s="5" t="s">
        <v>61</v>
      </c>
      <c r="G11" s="17" t="str">
        <f t="shared" ref="G11:G20" si="4">MID(I11,3,LEN(I11)-3)</f>
        <v>50514.3624</v>
      </c>
      <c r="H11" s="41">
        <f t="shared" ref="H11:H20" si="5">1*K11</f>
        <v>11934</v>
      </c>
      <c r="I11" s="50" t="s">
        <v>63</v>
      </c>
      <c r="J11" s="51" t="s">
        <v>64</v>
      </c>
      <c r="K11" s="50">
        <v>11934</v>
      </c>
      <c r="L11" s="50" t="s">
        <v>65</v>
      </c>
      <c r="M11" s="51" t="s">
        <v>66</v>
      </c>
      <c r="N11" s="51" t="s">
        <v>67</v>
      </c>
      <c r="O11" s="52" t="s">
        <v>68</v>
      </c>
      <c r="P11" s="52" t="s">
        <v>69</v>
      </c>
    </row>
    <row r="12" spans="1:16" ht="12.75" customHeight="1" thickBot="1" x14ac:dyDescent="0.25">
      <c r="A12" s="41" t="str">
        <f t="shared" si="0"/>
        <v>IBVS 5583 </v>
      </c>
      <c r="B12" s="5" t="str">
        <f t="shared" si="1"/>
        <v>I</v>
      </c>
      <c r="C12" s="41">
        <f t="shared" si="2"/>
        <v>51924.3177</v>
      </c>
      <c r="D12" s="17" t="str">
        <f t="shared" si="3"/>
        <v>vis</v>
      </c>
      <c r="E12" s="49">
        <f>VLOOKUP(C12,Active!C$21:E$973,3,FALSE)</f>
        <v>13373.007345294141</v>
      </c>
      <c r="F12" s="5" t="s">
        <v>61</v>
      </c>
      <c r="G12" s="17" t="str">
        <f t="shared" si="4"/>
        <v>51924.3177</v>
      </c>
      <c r="H12" s="41">
        <f t="shared" si="5"/>
        <v>13373</v>
      </c>
      <c r="I12" s="50" t="s">
        <v>77</v>
      </c>
      <c r="J12" s="51" t="s">
        <v>78</v>
      </c>
      <c r="K12" s="50">
        <v>13373</v>
      </c>
      <c r="L12" s="50" t="s">
        <v>79</v>
      </c>
      <c r="M12" s="51" t="s">
        <v>66</v>
      </c>
      <c r="N12" s="51" t="s">
        <v>67</v>
      </c>
      <c r="O12" s="52" t="s">
        <v>80</v>
      </c>
      <c r="P12" s="53" t="s">
        <v>81</v>
      </c>
    </row>
    <row r="13" spans="1:16" ht="12.75" customHeight="1" thickBot="1" x14ac:dyDescent="0.25">
      <c r="A13" s="41" t="str">
        <f t="shared" si="0"/>
        <v>IBVS 5653 </v>
      </c>
      <c r="B13" s="5" t="str">
        <f t="shared" si="1"/>
        <v>I</v>
      </c>
      <c r="C13" s="41">
        <f t="shared" si="2"/>
        <v>53381.291100000002</v>
      </c>
      <c r="D13" s="17" t="str">
        <f t="shared" si="3"/>
        <v>vis</v>
      </c>
      <c r="E13" s="49">
        <f>VLOOKUP(C13,Active!C$21:E$973,3,FALSE)</f>
        <v>14860.001673792191</v>
      </c>
      <c r="F13" s="5" t="s">
        <v>61</v>
      </c>
      <c r="G13" s="17" t="str">
        <f t="shared" si="4"/>
        <v>53381.2911</v>
      </c>
      <c r="H13" s="41">
        <f t="shared" si="5"/>
        <v>14860</v>
      </c>
      <c r="I13" s="50" t="s">
        <v>82</v>
      </c>
      <c r="J13" s="51" t="s">
        <v>83</v>
      </c>
      <c r="K13" s="50">
        <v>14860</v>
      </c>
      <c r="L13" s="50" t="s">
        <v>84</v>
      </c>
      <c r="M13" s="51" t="s">
        <v>66</v>
      </c>
      <c r="N13" s="51" t="s">
        <v>67</v>
      </c>
      <c r="O13" s="52" t="s">
        <v>85</v>
      </c>
      <c r="P13" s="53" t="s">
        <v>86</v>
      </c>
    </row>
    <row r="14" spans="1:16" ht="12.75" customHeight="1" thickBot="1" x14ac:dyDescent="0.25">
      <c r="A14" s="41" t="str">
        <f t="shared" si="0"/>
        <v>IBVS 5871 </v>
      </c>
      <c r="B14" s="5" t="str">
        <f t="shared" si="1"/>
        <v>I</v>
      </c>
      <c r="C14" s="41">
        <f t="shared" si="2"/>
        <v>54756.933900000004</v>
      </c>
      <c r="D14" s="17" t="str">
        <f t="shared" si="3"/>
        <v>vis</v>
      </c>
      <c r="E14" s="49">
        <f>VLOOKUP(C14,Active!C$21:E$973,3,FALSE)</f>
        <v>16263.98958574664</v>
      </c>
      <c r="F14" s="5" t="s">
        <v>61</v>
      </c>
      <c r="G14" s="17" t="str">
        <f t="shared" si="4"/>
        <v>54756.9339</v>
      </c>
      <c r="H14" s="41">
        <f t="shared" si="5"/>
        <v>16264</v>
      </c>
      <c r="I14" s="50" t="s">
        <v>87</v>
      </c>
      <c r="J14" s="51" t="s">
        <v>88</v>
      </c>
      <c r="K14" s="50">
        <v>16264</v>
      </c>
      <c r="L14" s="50" t="s">
        <v>89</v>
      </c>
      <c r="M14" s="51" t="s">
        <v>90</v>
      </c>
      <c r="N14" s="51" t="s">
        <v>30</v>
      </c>
      <c r="O14" s="52" t="s">
        <v>68</v>
      </c>
      <c r="P14" s="53" t="s">
        <v>91</v>
      </c>
    </row>
    <row r="15" spans="1:16" ht="12.75" customHeight="1" thickBot="1" x14ac:dyDescent="0.25">
      <c r="A15" s="41" t="str">
        <f t="shared" si="0"/>
        <v>IBVS 5960 </v>
      </c>
      <c r="B15" s="5" t="str">
        <f t="shared" si="1"/>
        <v>I</v>
      </c>
      <c r="C15" s="41">
        <f t="shared" si="2"/>
        <v>55545.671900000001</v>
      </c>
      <c r="D15" s="17" t="str">
        <f t="shared" si="3"/>
        <v>vis</v>
      </c>
      <c r="E15" s="49">
        <f>VLOOKUP(C15,Active!C$21:E$973,3,FALSE)</f>
        <v>17068.97952768442</v>
      </c>
      <c r="F15" s="5" t="s">
        <v>61</v>
      </c>
      <c r="G15" s="17" t="str">
        <f t="shared" si="4"/>
        <v>55545.6719</v>
      </c>
      <c r="H15" s="41">
        <f t="shared" si="5"/>
        <v>17069</v>
      </c>
      <c r="I15" s="50" t="s">
        <v>98</v>
      </c>
      <c r="J15" s="51" t="s">
        <v>99</v>
      </c>
      <c r="K15" s="50">
        <v>17069</v>
      </c>
      <c r="L15" s="50" t="s">
        <v>100</v>
      </c>
      <c r="M15" s="51" t="s">
        <v>90</v>
      </c>
      <c r="N15" s="51" t="s">
        <v>61</v>
      </c>
      <c r="O15" s="52" t="s">
        <v>68</v>
      </c>
      <c r="P15" s="53" t="s">
        <v>101</v>
      </c>
    </row>
    <row r="16" spans="1:16" ht="12.75" customHeight="1" thickBot="1" x14ac:dyDescent="0.25">
      <c r="A16" s="41" t="str">
        <f t="shared" si="0"/>
        <v>IBVS 6011 </v>
      </c>
      <c r="B16" s="5" t="str">
        <f t="shared" si="1"/>
        <v>I</v>
      </c>
      <c r="C16" s="41">
        <f t="shared" si="2"/>
        <v>55934.655500000001</v>
      </c>
      <c r="D16" s="17" t="str">
        <f t="shared" si="3"/>
        <v>vis</v>
      </c>
      <c r="E16" s="49">
        <f>VLOOKUP(C16,Active!C$21:E$973,3,FALSE)</f>
        <v>17465.978132517394</v>
      </c>
      <c r="F16" s="5" t="s">
        <v>61</v>
      </c>
      <c r="G16" s="17" t="str">
        <f t="shared" si="4"/>
        <v>55934.6555</v>
      </c>
      <c r="H16" s="41">
        <f t="shared" si="5"/>
        <v>17466</v>
      </c>
      <c r="I16" s="50" t="s">
        <v>102</v>
      </c>
      <c r="J16" s="51" t="s">
        <v>103</v>
      </c>
      <c r="K16" s="50">
        <v>17466</v>
      </c>
      <c r="L16" s="50" t="s">
        <v>104</v>
      </c>
      <c r="M16" s="51" t="s">
        <v>90</v>
      </c>
      <c r="N16" s="51" t="s">
        <v>61</v>
      </c>
      <c r="O16" s="52" t="s">
        <v>68</v>
      </c>
      <c r="P16" s="53" t="s">
        <v>105</v>
      </c>
    </row>
    <row r="17" spans="1:16" ht="12.75" customHeight="1" thickBot="1" x14ac:dyDescent="0.25">
      <c r="A17" s="41" t="str">
        <f t="shared" si="0"/>
        <v>IBVS 6094 </v>
      </c>
      <c r="B17" s="5" t="str">
        <f t="shared" si="1"/>
        <v>I</v>
      </c>
      <c r="C17" s="41">
        <f t="shared" si="2"/>
        <v>56291.302900000002</v>
      </c>
      <c r="D17" s="17" t="str">
        <f t="shared" si="3"/>
        <v>vis</v>
      </c>
      <c r="E17" s="49">
        <f>VLOOKUP(C17,Active!C$21:E$973,3,FALSE)</f>
        <v>17829.974250135994</v>
      </c>
      <c r="F17" s="5" t="s">
        <v>61</v>
      </c>
      <c r="G17" s="17" t="str">
        <f t="shared" si="4"/>
        <v>56291.3029</v>
      </c>
      <c r="H17" s="41">
        <f t="shared" si="5"/>
        <v>17830</v>
      </c>
      <c r="I17" s="50" t="s">
        <v>106</v>
      </c>
      <c r="J17" s="51" t="s">
        <v>107</v>
      </c>
      <c r="K17" s="50">
        <v>17830</v>
      </c>
      <c r="L17" s="50" t="s">
        <v>108</v>
      </c>
      <c r="M17" s="51" t="s">
        <v>90</v>
      </c>
      <c r="N17" s="51" t="s">
        <v>53</v>
      </c>
      <c r="O17" s="52" t="s">
        <v>109</v>
      </c>
      <c r="P17" s="53" t="s">
        <v>110</v>
      </c>
    </row>
    <row r="18" spans="1:16" ht="12.75" customHeight="1" thickBot="1" x14ac:dyDescent="0.25">
      <c r="A18" s="41" t="str">
        <f t="shared" si="0"/>
        <v> BBS 124 </v>
      </c>
      <c r="B18" s="5" t="str">
        <f t="shared" si="1"/>
        <v>I</v>
      </c>
      <c r="C18" s="41">
        <f t="shared" si="2"/>
        <v>51867.491000000002</v>
      </c>
      <c r="D18" s="17" t="str">
        <f t="shared" si="3"/>
        <v>vis</v>
      </c>
      <c r="E18" s="49">
        <f>VLOOKUP(C18,Active!C$21:E$973,3,FALSE)</f>
        <v>13315.009731468619</v>
      </c>
      <c r="F18" s="5" t="s">
        <v>61</v>
      </c>
      <c r="G18" s="17" t="str">
        <f t="shared" si="4"/>
        <v>51867.491</v>
      </c>
      <c r="H18" s="41">
        <f t="shared" si="5"/>
        <v>13315</v>
      </c>
      <c r="I18" s="50" t="s">
        <v>70</v>
      </c>
      <c r="J18" s="51" t="s">
        <v>71</v>
      </c>
      <c r="K18" s="50">
        <v>13315</v>
      </c>
      <c r="L18" s="50" t="s">
        <v>72</v>
      </c>
      <c r="M18" s="51" t="s">
        <v>66</v>
      </c>
      <c r="N18" s="51" t="s">
        <v>67</v>
      </c>
      <c r="O18" s="52" t="s">
        <v>68</v>
      </c>
      <c r="P18" s="52" t="s">
        <v>73</v>
      </c>
    </row>
    <row r="19" spans="1:16" ht="12.75" customHeight="1" thickBot="1" x14ac:dyDescent="0.25">
      <c r="A19" s="41" t="str">
        <f t="shared" si="0"/>
        <v> BBS 124 </v>
      </c>
      <c r="B19" s="5" t="str">
        <f t="shared" si="1"/>
        <v>I</v>
      </c>
      <c r="C19" s="41">
        <f t="shared" si="2"/>
        <v>51924.316200000001</v>
      </c>
      <c r="D19" s="17" t="str">
        <f t="shared" si="3"/>
        <v>vis</v>
      </c>
      <c r="E19" s="49">
        <f>VLOOKUP(C19,Active!C$21:E$973,3,FALSE)</f>
        <v>13373.005814386652</v>
      </c>
      <c r="F19" s="5" t="s">
        <v>61</v>
      </c>
      <c r="G19" s="17" t="str">
        <f t="shared" si="4"/>
        <v>51924.3162</v>
      </c>
      <c r="H19" s="41">
        <f t="shared" si="5"/>
        <v>13373</v>
      </c>
      <c r="I19" s="50" t="s">
        <v>74</v>
      </c>
      <c r="J19" s="51" t="s">
        <v>75</v>
      </c>
      <c r="K19" s="50">
        <v>13373</v>
      </c>
      <c r="L19" s="50" t="s">
        <v>76</v>
      </c>
      <c r="M19" s="51" t="s">
        <v>66</v>
      </c>
      <c r="N19" s="51" t="s">
        <v>67</v>
      </c>
      <c r="O19" s="52" t="s">
        <v>68</v>
      </c>
      <c r="P19" s="52" t="s">
        <v>73</v>
      </c>
    </row>
    <row r="20" spans="1:16" ht="12.75" customHeight="1" thickBot="1" x14ac:dyDescent="0.25">
      <c r="A20" s="41" t="str">
        <f t="shared" si="0"/>
        <v>BAVM 203 </v>
      </c>
      <c r="B20" s="5" t="str">
        <f t="shared" si="1"/>
        <v>I</v>
      </c>
      <c r="C20" s="41">
        <f t="shared" si="2"/>
        <v>54830.419600000001</v>
      </c>
      <c r="D20" s="17" t="str">
        <f t="shared" si="3"/>
        <v>vis</v>
      </c>
      <c r="E20" s="49">
        <f>VLOOKUP(C20,Active!C$21:E$973,3,FALSE)</f>
        <v>16338.989458171014</v>
      </c>
      <c r="F20" s="5" t="s">
        <v>61</v>
      </c>
      <c r="G20" s="17" t="str">
        <f t="shared" si="4"/>
        <v>54830.4196</v>
      </c>
      <c r="H20" s="41">
        <f t="shared" si="5"/>
        <v>16339</v>
      </c>
      <c r="I20" s="50" t="s">
        <v>92</v>
      </c>
      <c r="J20" s="51" t="s">
        <v>93</v>
      </c>
      <c r="K20" s="50">
        <v>16339</v>
      </c>
      <c r="L20" s="50" t="s">
        <v>94</v>
      </c>
      <c r="M20" s="51" t="s">
        <v>90</v>
      </c>
      <c r="N20" s="51" t="s">
        <v>95</v>
      </c>
      <c r="O20" s="52" t="s">
        <v>96</v>
      </c>
      <c r="P20" s="53" t="s">
        <v>97</v>
      </c>
    </row>
    <row r="21" spans="1:16" x14ac:dyDescent="0.2">
      <c r="B21" s="5"/>
      <c r="F21" s="5"/>
    </row>
    <row r="22" spans="1:16" x14ac:dyDescent="0.2">
      <c r="B22" s="5"/>
      <c r="F22" s="5"/>
    </row>
    <row r="23" spans="1:16" x14ac:dyDescent="0.2">
      <c r="B23" s="5"/>
      <c r="F23" s="5"/>
    </row>
    <row r="24" spans="1:16" x14ac:dyDescent="0.2">
      <c r="B24" s="5"/>
      <c r="F24" s="5"/>
    </row>
    <row r="25" spans="1:16" x14ac:dyDescent="0.2">
      <c r="B25" s="5"/>
      <c r="F25" s="5"/>
    </row>
    <row r="26" spans="1:16" x14ac:dyDescent="0.2">
      <c r="B26" s="5"/>
      <c r="F26" s="5"/>
    </row>
    <row r="27" spans="1:16" x14ac:dyDescent="0.2">
      <c r="B27" s="5"/>
      <c r="F27" s="5"/>
    </row>
    <row r="28" spans="1:16" x14ac:dyDescent="0.2">
      <c r="B28" s="5"/>
      <c r="F28" s="5"/>
    </row>
    <row r="29" spans="1:16" x14ac:dyDescent="0.2">
      <c r="B29" s="5"/>
      <c r="F29" s="5"/>
    </row>
    <row r="30" spans="1:16" x14ac:dyDescent="0.2">
      <c r="B30" s="5"/>
      <c r="F30" s="5"/>
    </row>
    <row r="31" spans="1:16" x14ac:dyDescent="0.2">
      <c r="B31" s="5"/>
      <c r="F31" s="5"/>
    </row>
    <row r="32" spans="1:16" x14ac:dyDescent="0.2">
      <c r="B32" s="5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</sheetData>
  <phoneticPr fontId="7" type="noConversion"/>
  <hyperlinks>
    <hyperlink ref="P12" r:id="rId1" display="http://www.konkoly.hu/cgi-bin/IBVS?5583"/>
    <hyperlink ref="P13" r:id="rId2" display="http://www.konkoly.hu/cgi-bin/IBVS?5653"/>
    <hyperlink ref="P14" r:id="rId3" display="http://www.konkoly.hu/cgi-bin/IBVS?5871"/>
    <hyperlink ref="P20" r:id="rId4" display="http://www.bav-astro.de/sfs/BAVM_link.php?BAVMnr=203"/>
    <hyperlink ref="P15" r:id="rId5" display="http://www.konkoly.hu/cgi-bin/IBVS?5960"/>
    <hyperlink ref="P16" r:id="rId6" display="http://www.konkoly.hu/cgi-bin/IBVS?6011"/>
    <hyperlink ref="P17" r:id="rId7" display="http://www.konkoly.hu/cgi-bin/IBVS?609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2023-01-24T07:07:27Z</dcterms:modified>
</cp:coreProperties>
</file>