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8BC8D07-46FC-4ED9-91AF-2F77159864A1}" xr6:coauthVersionLast="47" xr6:coauthVersionMax="47" xr10:uidLastSave="{00000000-0000-0000-0000-000000000000}"/>
  <bookViews>
    <workbookView xWindow="13905" yWindow="915" windowWidth="133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0" i="1" l="1"/>
  <c r="F40" i="1" s="1"/>
  <c r="G40" i="1" s="1"/>
  <c r="K40" i="1" s="1"/>
  <c r="Q40" i="1"/>
  <c r="C9" i="1"/>
  <c r="D9" i="1"/>
  <c r="F16" i="1"/>
  <c r="C17" i="1"/>
  <c r="E21" i="1"/>
  <c r="F21" i="1"/>
  <c r="G21" i="1" s="1"/>
  <c r="K21" i="1" s="1"/>
  <c r="Q21" i="1"/>
  <c r="E22" i="1"/>
  <c r="F22" i="1"/>
  <c r="G22" i="1"/>
  <c r="K22" i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 s="1"/>
  <c r="G25" i="1" s="1"/>
  <c r="K25" i="1" s="1"/>
  <c r="Q25" i="1"/>
  <c r="E26" i="1"/>
  <c r="F26" i="1" s="1"/>
  <c r="G26" i="1" s="1"/>
  <c r="Q26" i="1"/>
  <c r="E27" i="1"/>
  <c r="F27" i="1"/>
  <c r="G27" i="1"/>
  <c r="K27" i="1"/>
  <c r="Q27" i="1"/>
  <c r="E28" i="1"/>
  <c r="F28" i="1" s="1"/>
  <c r="G28" i="1" s="1"/>
  <c r="J28" i="1" s="1"/>
  <c r="Q28" i="1"/>
  <c r="E29" i="1"/>
  <c r="F29" i="1"/>
  <c r="U29" i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/>
  <c r="G32" i="1"/>
  <c r="K32" i="1"/>
  <c r="Q32" i="1"/>
  <c r="E33" i="1"/>
  <c r="F33" i="1" s="1"/>
  <c r="G33" i="1" s="1"/>
  <c r="K33" i="1" s="1"/>
  <c r="Q33" i="1"/>
  <c r="E34" i="1"/>
  <c r="F34" i="1"/>
  <c r="G34" i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/>
  <c r="G37" i="1"/>
  <c r="K37" i="1"/>
  <c r="Q37" i="1"/>
  <c r="E39" i="1"/>
  <c r="F39" i="1"/>
  <c r="G39" i="1" s="1"/>
  <c r="K39" i="1" s="1"/>
  <c r="Q39" i="1"/>
  <c r="E38" i="1"/>
  <c r="F38" i="1"/>
  <c r="G38" i="1" s="1"/>
  <c r="K38" i="1" s="1"/>
  <c r="Q38" i="1"/>
  <c r="C12" i="1"/>
  <c r="C11" i="1"/>
  <c r="H26" i="1" l="1"/>
  <c r="K26" i="1"/>
  <c r="O40" i="1"/>
  <c r="O33" i="1"/>
  <c r="C15" i="1"/>
  <c r="O36" i="1"/>
  <c r="O23" i="1"/>
  <c r="O30" i="1"/>
  <c r="O31" i="1"/>
  <c r="O26" i="1"/>
  <c r="O34" i="1"/>
  <c r="O35" i="1"/>
  <c r="O32" i="1"/>
  <c r="O37" i="1"/>
  <c r="O28" i="1"/>
  <c r="O38" i="1"/>
  <c r="O21" i="1"/>
  <c r="O29" i="1"/>
  <c r="O22" i="1"/>
  <c r="O24" i="1"/>
  <c r="O27" i="1"/>
  <c r="O25" i="1"/>
  <c r="O39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<sst xmlns="http://schemas.openxmlformats.org/spreadsheetml/2006/main" count="87" uniqueCount="57">
  <si>
    <t>EQ UMa / GSC 3798-0625</t>
  </si>
  <si>
    <t>System Type:</t>
  </si>
  <si>
    <t>EW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</si>
  <si>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</si>
  <si>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</si>
  <si>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</si>
  <si>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</si>
  <si>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</si>
  <si>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</si>
  <si>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VSX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</si>
  <si>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</si>
  <si>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</si>
  <si>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</si>
  <si>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</si>
  <si>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</si>
  <si>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</si>
  <si>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</si>
  <si>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</si>
  <si>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</si>
  <si>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</si>
  <si>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</si>
  <si>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</si>
  <si>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</si>
  <si>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</si>
  <si>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</si>
  <si>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</si>
  <si>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</si>
  <si>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</si>
  <si>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</si>
  <si>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</si>
  <si>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</si>
  <si>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</si>
  <si>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</si>
  <si>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</si>
  <si>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</si>
  <si>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</si>
  <si>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</si>
  <si>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</si>
  <si>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</si>
  <si>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</si>
  <si>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</si>
  <si>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</si>
  <si>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</si>
  <si>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</si>
  <si>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</si>
  <si>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JAVSO..43...77</t>
  </si>
  <si>
    <t>I</t>
  </si>
  <si>
    <t>II</t>
  </si>
  <si>
    <t>OEJV 0094</t>
  </si>
  <si>
    <t>OEJV 0137</t>
  </si>
  <si>
    <t>IBVS 6070</t>
  </si>
  <si>
    <t>OEJV 0160</t>
  </si>
  <si>
    <t>OEJV 0168</t>
  </si>
  <si>
    <t>JAVSO..47..105</t>
  </si>
  <si>
    <t>OEJV 0210</t>
  </si>
  <si>
    <t>OEJV 0211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</si>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</sst>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5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30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3" fillId="0" borderId="0"/>
    <xf numFmtId="0" fontId="13" fillId="0" borderId="0"/>
  </cellStyleXfs>
  <cellXfs count="47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Font="1" applyBorder="1" applyAlignment="1">
      <alignment horizontal="center"/>
    </xf>
    <xf numFmtId="0" fontId="6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5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9" fillId="0" borderId="0" xfId="0" applyFont="1" applyFill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2" borderId="0" xfId="0" applyFill="1" applyAlignme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3" borderId="0" xfId="0" applyFont="1" applyFill="1" applyAlignment="1"/>
    <xf numFmtId="0" fontId="11" fillId="0" borderId="0" xfId="0" applyFont="1" applyAlignment="1">
      <alignment horizontal="left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/>
    </xf>
    <xf numFmtId="0" fontId="10" fillId="4" borderId="0" xfId="0" applyFont="1" applyFill="1" applyAlignment="1"/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168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9" fontId="14" fillId="0" borderId="0" xfId="0" applyNumberFormat="1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UMa - O-C Diagr.</a:t>
            </a:r>
          </a:p>
        </c:rich>
      </c:tx>
      <c:layout>
        <c:manualLayout>
          <c:xMode val="edge"/>
          <c:yMode val="edge"/>
          <c:x val="0.37331365813156414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3936926022042"/>
          <c:y val="0.22822889753688513"/>
          <c:w val="0.8305853156810137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-2371</c:v>
                </c:pt>
                <c:pt idx="1">
                  <c:v>-1798</c:v>
                </c:pt>
                <c:pt idx="2">
                  <c:v>-1722.5</c:v>
                </c:pt>
                <c:pt idx="3">
                  <c:v>-1722</c:v>
                </c:pt>
                <c:pt idx="4">
                  <c:v>-55.5</c:v>
                </c:pt>
                <c:pt idx="5">
                  <c:v>-0.5</c:v>
                </c:pt>
                <c:pt idx="6">
                  <c:v>1678.5</c:v>
                </c:pt>
                <c:pt idx="7">
                  <c:v>2610.5</c:v>
                </c:pt>
                <c:pt idx="8">
                  <c:v>3146.5</c:v>
                </c:pt>
                <c:pt idx="9">
                  <c:v>3346</c:v>
                </c:pt>
                <c:pt idx="10">
                  <c:v>3348.5</c:v>
                </c:pt>
                <c:pt idx="11">
                  <c:v>4929.5</c:v>
                </c:pt>
                <c:pt idx="12">
                  <c:v>5091.5</c:v>
                </c:pt>
                <c:pt idx="13">
                  <c:v>5091.5</c:v>
                </c:pt>
                <c:pt idx="14">
                  <c:v>5091.5</c:v>
                </c:pt>
                <c:pt idx="15">
                  <c:v>6572</c:v>
                </c:pt>
                <c:pt idx="16">
                  <c:v>6572</c:v>
                </c:pt>
                <c:pt idx="17">
                  <c:v>7431</c:v>
                </c:pt>
                <c:pt idx="18">
                  <c:v>9976</c:v>
                </c:pt>
              </c:numCache>
            </c:numRef>
          </c:xVal>
          <c:yVal>
            <c:numRef>
              <c:f>Active!$H$21:$H$39</c:f>
              <c:numCache>
                <c:formatCode>General</c:formatCode>
                <c:ptCount val="19"/>
                <c:pt idx="5">
                  <c:v>0.21824149999883957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6B-4C1C-B6C6-AD59C22B96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-2371</c:v>
                </c:pt>
                <c:pt idx="1">
                  <c:v>-1798</c:v>
                </c:pt>
                <c:pt idx="2">
                  <c:v>-1722.5</c:v>
                </c:pt>
                <c:pt idx="3">
                  <c:v>-1722</c:v>
                </c:pt>
                <c:pt idx="4">
                  <c:v>-55.5</c:v>
                </c:pt>
                <c:pt idx="5">
                  <c:v>-0.5</c:v>
                </c:pt>
                <c:pt idx="6">
                  <c:v>1678.5</c:v>
                </c:pt>
                <c:pt idx="7">
                  <c:v>2610.5</c:v>
                </c:pt>
                <c:pt idx="8">
                  <c:v>3146.5</c:v>
                </c:pt>
                <c:pt idx="9">
                  <c:v>3346</c:v>
                </c:pt>
                <c:pt idx="10">
                  <c:v>3348.5</c:v>
                </c:pt>
                <c:pt idx="11">
                  <c:v>4929.5</c:v>
                </c:pt>
                <c:pt idx="12">
                  <c:v>5091.5</c:v>
                </c:pt>
                <c:pt idx="13">
                  <c:v>5091.5</c:v>
                </c:pt>
                <c:pt idx="14">
                  <c:v>5091.5</c:v>
                </c:pt>
                <c:pt idx="15">
                  <c:v>6572</c:v>
                </c:pt>
                <c:pt idx="16">
                  <c:v>6572</c:v>
                </c:pt>
                <c:pt idx="17">
                  <c:v>7431</c:v>
                </c:pt>
                <c:pt idx="18">
                  <c:v>9976</c:v>
                </c:pt>
              </c:numCache>
            </c:numRef>
          </c:xVal>
          <c:yVal>
            <c:numRef>
              <c:f>Active!$I$21:$I$39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6B-4C1C-B6C6-AD59C22B96D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-2371</c:v>
                </c:pt>
                <c:pt idx="1">
                  <c:v>-1798</c:v>
                </c:pt>
                <c:pt idx="2">
                  <c:v>-1722.5</c:v>
                </c:pt>
                <c:pt idx="3">
                  <c:v>-1722</c:v>
                </c:pt>
                <c:pt idx="4">
                  <c:v>-55.5</c:v>
                </c:pt>
                <c:pt idx="5">
                  <c:v>-0.5</c:v>
                </c:pt>
                <c:pt idx="6">
                  <c:v>1678.5</c:v>
                </c:pt>
                <c:pt idx="7">
                  <c:v>2610.5</c:v>
                </c:pt>
                <c:pt idx="8">
                  <c:v>3146.5</c:v>
                </c:pt>
                <c:pt idx="9">
                  <c:v>3346</c:v>
                </c:pt>
                <c:pt idx="10">
                  <c:v>3348.5</c:v>
                </c:pt>
                <c:pt idx="11">
                  <c:v>4929.5</c:v>
                </c:pt>
                <c:pt idx="12">
                  <c:v>5091.5</c:v>
                </c:pt>
                <c:pt idx="13">
                  <c:v>5091.5</c:v>
                </c:pt>
                <c:pt idx="14">
                  <c:v>5091.5</c:v>
                </c:pt>
                <c:pt idx="15">
                  <c:v>6572</c:v>
                </c:pt>
                <c:pt idx="16">
                  <c:v>6572</c:v>
                </c:pt>
                <c:pt idx="17">
                  <c:v>7431</c:v>
                </c:pt>
                <c:pt idx="18">
                  <c:v>9976</c:v>
                </c:pt>
              </c:numCache>
            </c:numRef>
          </c:xVal>
          <c:yVal>
            <c:numRef>
              <c:f>Active!$J$21:$J$39</c:f>
              <c:numCache>
                <c:formatCode>General</c:formatCode>
                <c:ptCount val="19"/>
                <c:pt idx="7">
                  <c:v>0.35322849999647588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6B-4C1C-B6C6-AD59C22B96D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-2371</c:v>
                </c:pt>
                <c:pt idx="1">
                  <c:v>-1798</c:v>
                </c:pt>
                <c:pt idx="2">
                  <c:v>-1722.5</c:v>
                </c:pt>
                <c:pt idx="3">
                  <c:v>-1722</c:v>
                </c:pt>
                <c:pt idx="4">
                  <c:v>-55.5</c:v>
                </c:pt>
                <c:pt idx="5">
                  <c:v>-0.5</c:v>
                </c:pt>
                <c:pt idx="6">
                  <c:v>1678.5</c:v>
                </c:pt>
                <c:pt idx="7">
                  <c:v>2610.5</c:v>
                </c:pt>
                <c:pt idx="8">
                  <c:v>3146.5</c:v>
                </c:pt>
                <c:pt idx="9">
                  <c:v>3346</c:v>
                </c:pt>
                <c:pt idx="10">
                  <c:v>3348.5</c:v>
                </c:pt>
                <c:pt idx="11">
                  <c:v>4929.5</c:v>
                </c:pt>
                <c:pt idx="12">
                  <c:v>5091.5</c:v>
                </c:pt>
                <c:pt idx="13">
                  <c:v>5091.5</c:v>
                </c:pt>
                <c:pt idx="14">
                  <c:v>5091.5</c:v>
                </c:pt>
                <c:pt idx="15">
                  <c:v>6572</c:v>
                </c:pt>
                <c:pt idx="16">
                  <c:v>6572</c:v>
                </c:pt>
                <c:pt idx="17">
                  <c:v>7431</c:v>
                </c:pt>
                <c:pt idx="18">
                  <c:v>9976</c:v>
                </c:pt>
              </c:numCache>
            </c:numRef>
          </c:xVal>
          <c:yVal>
            <c:numRef>
              <c:f>Active!$K$21:$K$39</c:f>
              <c:numCache>
                <c:formatCode>General</c:formatCode>
                <c:ptCount val="19"/>
                <c:pt idx="0">
                  <c:v>5.9299999702489004E-4</c:v>
                </c:pt>
                <c:pt idx="1">
                  <c:v>6.1734000002616085E-2</c:v>
                </c:pt>
                <c:pt idx="2">
                  <c:v>5.4267499996058177E-2</c:v>
                </c:pt>
                <c:pt idx="3">
                  <c:v>1.3125999998010229E-2</c:v>
                </c:pt>
                <c:pt idx="4">
                  <c:v>0.20214649999979883</c:v>
                </c:pt>
                <c:pt idx="5">
                  <c:v>0.21824149999883957</c:v>
                </c:pt>
                <c:pt idx="6">
                  <c:v>0.296484500002407</c:v>
                </c:pt>
                <c:pt idx="9">
                  <c:v>0.40626199999678647</c:v>
                </c:pt>
                <c:pt idx="10">
                  <c:v>0.3901045000020531</c:v>
                </c:pt>
                <c:pt idx="11">
                  <c:v>0.48234149999916553</c:v>
                </c:pt>
                <c:pt idx="12">
                  <c:v>0.50647549999848707</c:v>
                </c:pt>
                <c:pt idx="13">
                  <c:v>0.50766550000116695</c:v>
                </c:pt>
                <c:pt idx="14">
                  <c:v>0.50786549999611452</c:v>
                </c:pt>
                <c:pt idx="15">
                  <c:v>0.57262400000035996</c:v>
                </c:pt>
                <c:pt idx="16">
                  <c:v>0.75332399999751942</c:v>
                </c:pt>
                <c:pt idx="17">
                  <c:v>0.61305700021330267</c:v>
                </c:pt>
                <c:pt idx="18">
                  <c:v>0.7433309999469202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6B-4C1C-B6C6-AD59C22B96D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-2371</c:v>
                </c:pt>
                <c:pt idx="1">
                  <c:v>-1798</c:v>
                </c:pt>
                <c:pt idx="2">
                  <c:v>-1722.5</c:v>
                </c:pt>
                <c:pt idx="3">
                  <c:v>-1722</c:v>
                </c:pt>
                <c:pt idx="4">
                  <c:v>-55.5</c:v>
                </c:pt>
                <c:pt idx="5">
                  <c:v>-0.5</c:v>
                </c:pt>
                <c:pt idx="6">
                  <c:v>1678.5</c:v>
                </c:pt>
                <c:pt idx="7">
                  <c:v>2610.5</c:v>
                </c:pt>
                <c:pt idx="8">
                  <c:v>3146.5</c:v>
                </c:pt>
                <c:pt idx="9">
                  <c:v>3346</c:v>
                </c:pt>
                <c:pt idx="10">
                  <c:v>3348.5</c:v>
                </c:pt>
                <c:pt idx="11">
                  <c:v>4929.5</c:v>
                </c:pt>
                <c:pt idx="12">
                  <c:v>5091.5</c:v>
                </c:pt>
                <c:pt idx="13">
                  <c:v>5091.5</c:v>
                </c:pt>
                <c:pt idx="14">
                  <c:v>5091.5</c:v>
                </c:pt>
                <c:pt idx="15">
                  <c:v>6572</c:v>
                </c:pt>
                <c:pt idx="16">
                  <c:v>6572</c:v>
                </c:pt>
                <c:pt idx="17">
                  <c:v>7431</c:v>
                </c:pt>
                <c:pt idx="18">
                  <c:v>9976</c:v>
                </c:pt>
              </c:numCache>
            </c:numRef>
          </c:xVal>
          <c:yVal>
            <c:numRef>
              <c:f>Active!$L$21:$L$39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6B-4C1C-B6C6-AD59C22B96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-2371</c:v>
                </c:pt>
                <c:pt idx="1">
                  <c:v>-1798</c:v>
                </c:pt>
                <c:pt idx="2">
                  <c:v>-1722.5</c:v>
                </c:pt>
                <c:pt idx="3">
                  <c:v>-1722</c:v>
                </c:pt>
                <c:pt idx="4">
                  <c:v>-55.5</c:v>
                </c:pt>
                <c:pt idx="5">
                  <c:v>-0.5</c:v>
                </c:pt>
                <c:pt idx="6">
                  <c:v>1678.5</c:v>
                </c:pt>
                <c:pt idx="7">
                  <c:v>2610.5</c:v>
                </c:pt>
                <c:pt idx="8">
                  <c:v>3146.5</c:v>
                </c:pt>
                <c:pt idx="9">
                  <c:v>3346</c:v>
                </c:pt>
                <c:pt idx="10">
                  <c:v>3348.5</c:v>
                </c:pt>
                <c:pt idx="11">
                  <c:v>4929.5</c:v>
                </c:pt>
                <c:pt idx="12">
                  <c:v>5091.5</c:v>
                </c:pt>
                <c:pt idx="13">
                  <c:v>5091.5</c:v>
                </c:pt>
                <c:pt idx="14">
                  <c:v>5091.5</c:v>
                </c:pt>
                <c:pt idx="15">
                  <c:v>6572</c:v>
                </c:pt>
                <c:pt idx="16">
                  <c:v>6572</c:v>
                </c:pt>
                <c:pt idx="17">
                  <c:v>7431</c:v>
                </c:pt>
                <c:pt idx="18">
                  <c:v>9976</c:v>
                </c:pt>
              </c:numCache>
            </c:numRef>
          </c:xVal>
          <c:yVal>
            <c:numRef>
              <c:f>Active!$M$21:$M$39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6B-4C1C-B6C6-AD59C22B96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-2371</c:v>
                </c:pt>
                <c:pt idx="1">
                  <c:v>-1798</c:v>
                </c:pt>
                <c:pt idx="2">
                  <c:v>-1722.5</c:v>
                </c:pt>
                <c:pt idx="3">
                  <c:v>-1722</c:v>
                </c:pt>
                <c:pt idx="4">
                  <c:v>-55.5</c:v>
                </c:pt>
                <c:pt idx="5">
                  <c:v>-0.5</c:v>
                </c:pt>
                <c:pt idx="6">
                  <c:v>1678.5</c:v>
                </c:pt>
                <c:pt idx="7">
                  <c:v>2610.5</c:v>
                </c:pt>
                <c:pt idx="8">
                  <c:v>3146.5</c:v>
                </c:pt>
                <c:pt idx="9">
                  <c:v>3346</c:v>
                </c:pt>
                <c:pt idx="10">
                  <c:v>3348.5</c:v>
                </c:pt>
                <c:pt idx="11">
                  <c:v>4929.5</c:v>
                </c:pt>
                <c:pt idx="12">
                  <c:v>5091.5</c:v>
                </c:pt>
                <c:pt idx="13">
                  <c:v>5091.5</c:v>
                </c:pt>
                <c:pt idx="14">
                  <c:v>5091.5</c:v>
                </c:pt>
                <c:pt idx="15">
                  <c:v>6572</c:v>
                </c:pt>
                <c:pt idx="16">
                  <c:v>6572</c:v>
                </c:pt>
                <c:pt idx="17">
                  <c:v>7431</c:v>
                </c:pt>
                <c:pt idx="18">
                  <c:v>9976</c:v>
                </c:pt>
              </c:numCache>
            </c:numRef>
          </c:xVal>
          <c:yVal>
            <c:numRef>
              <c:f>Active!$N$21:$N$39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6B-4C1C-B6C6-AD59C22B96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-2371</c:v>
                </c:pt>
                <c:pt idx="1">
                  <c:v>-1798</c:v>
                </c:pt>
                <c:pt idx="2">
                  <c:v>-1722.5</c:v>
                </c:pt>
                <c:pt idx="3">
                  <c:v>-1722</c:v>
                </c:pt>
                <c:pt idx="4">
                  <c:v>-55.5</c:v>
                </c:pt>
                <c:pt idx="5">
                  <c:v>-0.5</c:v>
                </c:pt>
                <c:pt idx="6">
                  <c:v>1678.5</c:v>
                </c:pt>
                <c:pt idx="7">
                  <c:v>2610.5</c:v>
                </c:pt>
                <c:pt idx="8">
                  <c:v>3146.5</c:v>
                </c:pt>
                <c:pt idx="9">
                  <c:v>3346</c:v>
                </c:pt>
                <c:pt idx="10">
                  <c:v>3348.5</c:v>
                </c:pt>
                <c:pt idx="11">
                  <c:v>4929.5</c:v>
                </c:pt>
                <c:pt idx="12">
                  <c:v>5091.5</c:v>
                </c:pt>
                <c:pt idx="13">
                  <c:v>5091.5</c:v>
                </c:pt>
                <c:pt idx="14">
                  <c:v>5091.5</c:v>
                </c:pt>
                <c:pt idx="15">
                  <c:v>6572</c:v>
                </c:pt>
                <c:pt idx="16">
                  <c:v>6572</c:v>
                </c:pt>
                <c:pt idx="17">
                  <c:v>7431</c:v>
                </c:pt>
                <c:pt idx="18">
                  <c:v>9976</c:v>
                </c:pt>
              </c:numCache>
            </c:numRef>
          </c:xVal>
          <c:yVal>
            <c:numRef>
              <c:f>Active!$O$21:$O$39</c:f>
              <c:numCache>
                <c:formatCode>General</c:formatCode>
                <c:ptCount val="19"/>
                <c:pt idx="0">
                  <c:v>0.15691050452634508</c:v>
                </c:pt>
                <c:pt idx="1">
                  <c:v>0.18267764584127921</c:v>
                </c:pt>
                <c:pt idx="2">
                  <c:v>0.18607279273356109</c:v>
                </c:pt>
                <c:pt idx="3">
                  <c:v>0.18609527715006627</c:v>
                </c:pt>
                <c:pt idx="4">
                  <c:v>0.26103583736182495</c:v>
                </c:pt>
                <c:pt idx="5">
                  <c:v>0.26350912317739456</c:v>
                </c:pt>
                <c:pt idx="6">
                  <c:v>0.33901179380178265</c:v>
                </c:pt>
                <c:pt idx="7">
                  <c:v>0.38092274616743466</c:v>
                </c:pt>
                <c:pt idx="8">
                  <c:v>0.40502604066098558</c:v>
                </c:pt>
                <c:pt idx="9">
                  <c:v>0.41399732284655166</c:v>
                </c:pt>
                <c:pt idx="10">
                  <c:v>0.41410974492907759</c:v>
                </c:pt>
                <c:pt idx="11">
                  <c:v>0.48520546991845082</c:v>
                </c:pt>
                <c:pt idx="12">
                  <c:v>0.49249042086612849</c:v>
                </c:pt>
                <c:pt idx="13">
                  <c:v>0.49249042086612849</c:v>
                </c:pt>
                <c:pt idx="14">
                  <c:v>0.49249042086612849</c:v>
                </c:pt>
                <c:pt idx="15">
                  <c:v>0.55906677813796091</c:v>
                </c:pt>
                <c:pt idx="16">
                  <c:v>0.55906677813796091</c:v>
                </c:pt>
                <c:pt idx="17">
                  <c:v>0.59769500569385692</c:v>
                </c:pt>
                <c:pt idx="18">
                  <c:v>0.71214068570521349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6B-4C1C-B6C6-AD59C22B96D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-2371</c:v>
                </c:pt>
                <c:pt idx="1">
                  <c:v>-1798</c:v>
                </c:pt>
                <c:pt idx="2">
                  <c:v>-1722.5</c:v>
                </c:pt>
                <c:pt idx="3">
                  <c:v>-1722</c:v>
                </c:pt>
                <c:pt idx="4">
                  <c:v>-55.5</c:v>
                </c:pt>
                <c:pt idx="5">
                  <c:v>-0.5</c:v>
                </c:pt>
                <c:pt idx="6">
                  <c:v>1678.5</c:v>
                </c:pt>
                <c:pt idx="7">
                  <c:v>2610.5</c:v>
                </c:pt>
                <c:pt idx="8">
                  <c:v>3146.5</c:v>
                </c:pt>
                <c:pt idx="9">
                  <c:v>3346</c:v>
                </c:pt>
                <c:pt idx="10">
                  <c:v>3348.5</c:v>
                </c:pt>
                <c:pt idx="11">
                  <c:v>4929.5</c:v>
                </c:pt>
                <c:pt idx="12">
                  <c:v>5091.5</c:v>
                </c:pt>
                <c:pt idx="13">
                  <c:v>5091.5</c:v>
                </c:pt>
                <c:pt idx="14">
                  <c:v>5091.5</c:v>
                </c:pt>
                <c:pt idx="15">
                  <c:v>6572</c:v>
                </c:pt>
                <c:pt idx="16">
                  <c:v>6572</c:v>
                </c:pt>
                <c:pt idx="17">
                  <c:v>7431</c:v>
                </c:pt>
                <c:pt idx="18">
                  <c:v>9976</c:v>
                </c:pt>
              </c:numCache>
            </c:numRef>
          </c:xVal>
          <c:yVal>
            <c:numRef>
              <c:f>Active!$U$21:$U$39</c:f>
              <c:numCache>
                <c:formatCode>General</c:formatCode>
                <c:ptCount val="19"/>
                <c:pt idx="8">
                  <c:v>0.45309049999923445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6B-4C1C-B6C6-AD59C22B9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560728"/>
        <c:axId val="1"/>
      </c:scatterChart>
      <c:valAx>
        <c:axId val="902560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7454422395101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5607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40945275393799"/>
          <c:y val="0.91291543512015949"/>
          <c:w val="0.72113990248970006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CD2250-C53A-E651-9F22-38EA11BE9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workbookViewId="0">
      <selection activeCell="F12" sqref="F12"/>
    </sheetView>
  </sheetViews>
  <sheetFormatPr defaultColWidth="10.28515625" defaultRowHeight="12.75"/>
  <cols>
    <col min="1" max="1" width="18.8554687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3"/>
      <c r="D2" s="3"/>
    </row>
    <row r="4" spans="1:6">
      <c r="A4" s="4" t="s">
        <v>3</v>
      </c>
      <c r="C4" s="5" t="s">
        <v>4</v>
      </c>
      <c r="D4" s="6" t="s">
        <v>4</v>
      </c>
    </row>
    <row r="5" spans="1:6">
      <c r="A5" s="7" t="s">
        <v>5</v>
      </c>
      <c r="B5"/>
      <c r="C5" s="8">
        <v>-9.5</v>
      </c>
      <c r="D5" t="s">
        <v>6</v>
      </c>
    </row>
    <row r="6" spans="1:6">
      <c r="A6" s="4" t="s">
        <v>7</v>
      </c>
    </row>
    <row r="7" spans="1:6">
      <c r="A7" s="1" t="s">
        <v>8</v>
      </c>
      <c r="C7" s="9">
        <v>54531.58</v>
      </c>
      <c r="D7" s="10" t="s">
        <v>9</v>
      </c>
    </row>
    <row r="8" spans="1:6">
      <c r="A8" s="1" t="s">
        <v>10</v>
      </c>
      <c r="C8" s="9">
        <v>0.43648300000000001</v>
      </c>
      <c r="D8" s="10" t="s">
        <v>9</v>
      </c>
    </row>
    <row r="9" spans="1:6">
      <c r="A9" s="11" t="s">
        <v>11</v>
      </c>
      <c r="B9" s="12">
        <v>26</v>
      </c>
      <c r="C9" s="13" t="str">
        <f>"F"&amp;B9</f>
        <v>F26</v>
      </c>
      <c r="D9" s="14" t="str">
        <f>"G"&amp;B9</f>
        <v>G26</v>
      </c>
    </row>
    <row r="10" spans="1:6">
      <c r="A10"/>
      <c r="B10"/>
      <c r="C10" s="15" t="s">
        <v>12</v>
      </c>
      <c r="D10" s="15" t="s">
        <v>13</v>
      </c>
      <c r="E10"/>
    </row>
    <row r="11" spans="1:6">
      <c r="A11" t="s">
        <v>14</v>
      </c>
      <c r="B11"/>
      <c r="C11" s="16">
        <f ca="1">INTERCEPT(INDIRECT($D$9):G992,INDIRECT($C$9):F992)</f>
        <v>0.26353160759389971</v>
      </c>
      <c r="D11" s="3"/>
      <c r="E11"/>
    </row>
    <row r="12" spans="1:6">
      <c r="A12" t="s">
        <v>15</v>
      </c>
      <c r="B12"/>
      <c r="C12" s="16">
        <f ca="1">SLOPE(INDIRECT($D$9):G992,INDIRECT($C$9):F992)</f>
        <v>4.4968833010356237E-5</v>
      </c>
      <c r="D12" s="3"/>
      <c r="E12"/>
    </row>
    <row r="13" spans="1:6">
      <c r="A13" t="s">
        <v>16</v>
      </c>
      <c r="B13"/>
      <c r="C13" s="3" t="s">
        <v>17</v>
      </c>
    </row>
    <row r="14" spans="1:6">
      <c r="A14"/>
      <c r="B14"/>
      <c r="C14"/>
    </row>
    <row r="15" spans="1:6">
      <c r="A15" s="17" t="s">
        <v>18</v>
      </c>
      <c r="B15"/>
      <c r="C15" s="18">
        <f ca="1">(C7+C11)+(C8+C12)*INT(MAX(F21:F3533))</f>
        <v>59676.325644304619</v>
      </c>
      <c r="E15" s="19" t="s">
        <v>19</v>
      </c>
      <c r="F15" s="8">
        <v>1</v>
      </c>
    </row>
    <row r="16" spans="1:6">
      <c r="A16" s="17" t="s">
        <v>20</v>
      </c>
      <c r="B16"/>
      <c r="C16" s="18">
        <f ca="1">+C8+C12</f>
        <v>0.43652796883301037</v>
      </c>
      <c r="E16" s="19" t="s">
        <v>21</v>
      </c>
      <c r="F16" s="16">
        <f ca="1">NOW()+15018.5+$C$5/24</f>
        <v>59969.745099305554</v>
      </c>
    </row>
    <row r="17" spans="1:21">
      <c r="A17" s="19" t="s">
        <v>22</v>
      </c>
      <c r="B17"/>
      <c r="C17">
        <f>COUNT(C21:C2191)</f>
        <v>20</v>
      </c>
      <c r="E17" s="19" t="s">
        <v>23</v>
      </c>
      <c r="F17" s="16">
        <f ca="1">ROUND(2*(F16-$C$7)/$C$8,0)/2+F15</f>
        <v>12460</v>
      </c>
    </row>
    <row r="18" spans="1:21">
      <c r="A18" s="17" t="s">
        <v>24</v>
      </c>
      <c r="B18"/>
      <c r="C18" s="20">
        <f ca="1">+C15</f>
        <v>59676.325644304619</v>
      </c>
      <c r="D18" s="21">
        <f ca="1">+C16</f>
        <v>0.43652796883301037</v>
      </c>
      <c r="E18" s="19" t="s">
        <v>25</v>
      </c>
      <c r="F18" s="14">
        <f ca="1">ROUND(2*(F16-$C$15)/$C$16,0)/2+F15</f>
        <v>673</v>
      </c>
    </row>
    <row r="19" spans="1:21">
      <c r="E19" s="19" t="s">
        <v>26</v>
      </c>
      <c r="F19" s="22">
        <f ca="1">+$C$15+$C$16*F18-15018.5-$C$5/24</f>
        <v>44952.004800662573</v>
      </c>
    </row>
    <row r="20" spans="1:21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5" t="s">
        <v>33</v>
      </c>
      <c r="H20" s="23" t="s">
        <v>34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5" t="s">
        <v>43</v>
      </c>
      <c r="U20" s="24" t="s">
        <v>44</v>
      </c>
    </row>
    <row r="21" spans="1:21">
      <c r="A21" s="25" t="s">
        <v>45</v>
      </c>
      <c r="B21" s="26" t="s">
        <v>46</v>
      </c>
      <c r="C21" s="25">
        <v>53496.679400000001</v>
      </c>
      <c r="D21" s="25">
        <v>4.0000000000000002E-4</v>
      </c>
      <c r="E21" s="1">
        <f>+(C21-C$7)/C$8</f>
        <v>-2370.9986414132986</v>
      </c>
      <c r="F21" s="27">
        <f>ROUND(2*E21,0)/2</f>
        <v>-2371</v>
      </c>
      <c r="G21" s="1">
        <f>+C21-(C$7+F21*C$8)</f>
        <v>5.9299999702489004E-4</v>
      </c>
      <c r="K21" s="1">
        <f>+G21</f>
        <v>5.9299999702489004E-4</v>
      </c>
      <c r="O21" s="1">
        <f ca="1">+C$11+C$12*$F21</f>
        <v>0.15691050452634508</v>
      </c>
      <c r="Q21" s="43">
        <f>+C21-15018.5</f>
        <v>38478.179400000001</v>
      </c>
    </row>
    <row r="22" spans="1:21">
      <c r="A22" s="25" t="s">
        <v>45</v>
      </c>
      <c r="B22" s="26" t="s">
        <v>47</v>
      </c>
      <c r="C22" s="25">
        <v>53746.845300000001</v>
      </c>
      <c r="D22" s="25">
        <v>1E-3</v>
      </c>
      <c r="E22" s="1">
        <f>+(C22-C$7)/C$8</f>
        <v>-1797.8585649383845</v>
      </c>
      <c r="F22" s="27">
        <f>ROUND(2*E22,0)/2</f>
        <v>-1798</v>
      </c>
      <c r="G22" s="1">
        <f>+C22-(C$7+F22*C$8)</f>
        <v>6.1734000002616085E-2</v>
      </c>
      <c r="K22" s="1">
        <f>+G22</f>
        <v>6.1734000002616085E-2</v>
      </c>
      <c r="O22" s="1">
        <f ca="1">+C$11+C$12*$F22</f>
        <v>0.18267764584127921</v>
      </c>
      <c r="Q22" s="43">
        <f>+C22-15018.5</f>
        <v>38728.345300000001</v>
      </c>
    </row>
    <row r="23" spans="1:21">
      <c r="A23" s="25" t="s">
        <v>45</v>
      </c>
      <c r="B23" s="26" t="s">
        <v>47</v>
      </c>
      <c r="C23" s="25">
        <v>53779.792300000001</v>
      </c>
      <c r="D23" s="25">
        <v>8.0000000000000004E-4</v>
      </c>
      <c r="E23" s="1">
        <f>+(C23-C$7)/C$8</f>
        <v>-1722.3756709883335</v>
      </c>
      <c r="F23" s="27">
        <f>ROUND(2*E23,0)/2</f>
        <v>-1722.5</v>
      </c>
      <c r="G23" s="1">
        <f>+C23-(C$7+F23*C$8)</f>
        <v>5.4267499996058177E-2</v>
      </c>
      <c r="K23" s="1">
        <f>+G23</f>
        <v>5.4267499996058177E-2</v>
      </c>
      <c r="O23" s="1">
        <f ca="1">+C$11+C$12*$F23</f>
        <v>0.18607279273356109</v>
      </c>
      <c r="Q23" s="43">
        <f>+C23-15018.5</f>
        <v>38761.292300000001</v>
      </c>
    </row>
    <row r="24" spans="1:21">
      <c r="A24" s="25" t="s">
        <v>45</v>
      </c>
      <c r="B24" s="26" t="s">
        <v>46</v>
      </c>
      <c r="C24" s="25">
        <v>53779.969400000002</v>
      </c>
      <c r="D24" s="25">
        <v>5.0000000000000001E-4</v>
      </c>
      <c r="E24" s="1">
        <f>+(C24-C$7)/C$8</f>
        <v>-1721.9699278093303</v>
      </c>
      <c r="F24" s="27">
        <f>ROUND(2*E24,0)/2</f>
        <v>-1722</v>
      </c>
      <c r="G24" s="1">
        <f>+C24-(C$7+F24*C$8)</f>
        <v>1.3125999998010229E-2</v>
      </c>
      <c r="K24" s="1">
        <f>+G24</f>
        <v>1.3125999998010229E-2</v>
      </c>
      <c r="O24" s="1">
        <f ca="1">+C$11+C$12*$F24</f>
        <v>0.18609527715006627</v>
      </c>
      <c r="Q24" s="43">
        <f>+C24-15018.5</f>
        <v>38761.469400000002</v>
      </c>
    </row>
    <row r="25" spans="1:21">
      <c r="A25" s="28" t="s">
        <v>48</v>
      </c>
      <c r="B25" s="29" t="s">
        <v>46</v>
      </c>
      <c r="C25" s="28">
        <v>54507.557339999999</v>
      </c>
      <c r="D25" s="28">
        <v>8.9999999999999998E-4</v>
      </c>
      <c r="E25" s="1">
        <f>+(C25-C$7)/C$8</f>
        <v>-55.036874288351115</v>
      </c>
      <c r="F25" s="30">
        <f>ROUND(2*E25,0)/2-0.5</f>
        <v>-55.5</v>
      </c>
      <c r="G25" s="1">
        <f>+C25-(C$7+F25*C$8)</f>
        <v>0.20214649999979883</v>
      </c>
      <c r="K25" s="1">
        <f>+G25</f>
        <v>0.20214649999979883</v>
      </c>
      <c r="O25" s="1">
        <f ca="1">+C$11+C$12*$F25</f>
        <v>0.26103583736182495</v>
      </c>
      <c r="Q25" s="43">
        <f>+C25-15018.5</f>
        <v>39489.057339999999</v>
      </c>
    </row>
    <row r="26" spans="1:21">
      <c r="A26" s="31" t="s">
        <v>9</v>
      </c>
      <c r="B26" s="31"/>
      <c r="C26" s="32">
        <v>54531.58</v>
      </c>
      <c r="D26" s="32" t="s">
        <v>17</v>
      </c>
      <c r="E26" s="1">
        <f>+(C26-C$7)/C$8</f>
        <v>0</v>
      </c>
      <c r="F26" s="30">
        <f>ROUND(2*E26,0)/2-0.5</f>
        <v>-0.5</v>
      </c>
      <c r="G26" s="1">
        <f>+C26-(C$7+F26*C$8)</f>
        <v>0.21824149999883957</v>
      </c>
      <c r="H26" s="1">
        <f>+G26</f>
        <v>0.21824149999883957</v>
      </c>
      <c r="K26" s="1">
        <f>+G26</f>
        <v>0.21824149999883957</v>
      </c>
      <c r="O26" s="1">
        <f ca="1">+C$11+C$12*$F26</f>
        <v>0.26350912317739456</v>
      </c>
      <c r="Q26" s="43">
        <f>+C26-15018.5</f>
        <v>39513.08</v>
      </c>
    </row>
    <row r="27" spans="1:21">
      <c r="A27" s="28" t="s">
        <v>49</v>
      </c>
      <c r="B27" s="29" t="s">
        <v>47</v>
      </c>
      <c r="C27" s="28">
        <v>55264.513200000001</v>
      </c>
      <c r="D27" s="28">
        <v>2.0000000000000001E-4</v>
      </c>
      <c r="E27" s="1">
        <f>+(C27-C$7)/C$8</f>
        <v>1679.1792578405104</v>
      </c>
      <c r="F27" s="30">
        <f>ROUND(2*E27,0)/2-0.5</f>
        <v>1678.5</v>
      </c>
      <c r="G27" s="1">
        <f>+C27-(C$7+F27*C$8)</f>
        <v>0.296484500002407</v>
      </c>
      <c r="K27" s="1">
        <f>+G27</f>
        <v>0.296484500002407</v>
      </c>
      <c r="O27" s="1">
        <f ca="1">+C$11+C$12*$F27</f>
        <v>0.33901179380178265</v>
      </c>
      <c r="Q27" s="43">
        <f>+C27-15018.5</f>
        <v>40246.013200000001</v>
      </c>
    </row>
    <row r="28" spans="1:21">
      <c r="A28" s="33" t="s">
        <v>50</v>
      </c>
      <c r="B28" s="34" t="s">
        <v>46</v>
      </c>
      <c r="C28" s="32">
        <v>55671.372100000001</v>
      </c>
      <c r="D28" s="32">
        <v>4.0000000000000002E-4</v>
      </c>
      <c r="E28" s="1">
        <f>+(C28-C$7)/C$8</f>
        <v>2611.309260612667</v>
      </c>
      <c r="F28" s="35">
        <f>ROUND(2*E28,0)/2-1</f>
        <v>2610.5</v>
      </c>
      <c r="G28" s="1">
        <f>+C28-(C$7+F28*C$8)</f>
        <v>0.35322849999647588</v>
      </c>
      <c r="J28" s="1">
        <f>+G28</f>
        <v>0.35322849999647588</v>
      </c>
      <c r="O28" s="1">
        <f ca="1">+C$11+C$12*$F28</f>
        <v>0.38092274616743466</v>
      </c>
      <c r="Q28" s="43">
        <f>+C28-15018.5</f>
        <v>40652.872100000001</v>
      </c>
    </row>
    <row r="29" spans="1:21">
      <c r="A29" s="33" t="s">
        <v>51</v>
      </c>
      <c r="B29" s="34" t="s">
        <v>46</v>
      </c>
      <c r="C29" s="32">
        <v>55905.426850000003</v>
      </c>
      <c r="D29" s="32">
        <v>2.0000000000000001E-4</v>
      </c>
      <c r="E29" s="1">
        <f>+(C29-C$7)/C$8</f>
        <v>3147.5380484463353</v>
      </c>
      <c r="F29" s="35">
        <f>ROUND(2*E29,0)/2-1</f>
        <v>3146.5</v>
      </c>
      <c r="O29" s="1">
        <f ca="1">+C$11+C$12*$F29</f>
        <v>0.40502604066098558</v>
      </c>
      <c r="Q29" s="43">
        <f>+C29-15018.5</f>
        <v>40886.926850000003</v>
      </c>
      <c r="U29" s="1">
        <f>+C29-(C$7+F29*C$8)</f>
        <v>0.45309049999923445</v>
      </c>
    </row>
    <row r="30" spans="1:21">
      <c r="A30" s="33" t="s">
        <v>51</v>
      </c>
      <c r="B30" s="34" t="s">
        <v>46</v>
      </c>
      <c r="C30" s="32">
        <v>55992.458379999996</v>
      </c>
      <c r="D30" s="32">
        <v>1E-4</v>
      </c>
      <c r="E30" s="1">
        <f>+(C30-C$7)/C$8</f>
        <v>3346.9307624810008</v>
      </c>
      <c r="F30" s="35">
        <f>ROUND(2*E30,0)/2-1</f>
        <v>3346</v>
      </c>
      <c r="G30" s="1">
        <f>+C30-(C$7+F30*C$8)</f>
        <v>0.40626199999678647</v>
      </c>
      <c r="K30" s="1">
        <f>+G30</f>
        <v>0.40626199999678647</v>
      </c>
      <c r="O30" s="1">
        <f ca="1">+C$11+C$12*$F30</f>
        <v>0.41399732284655166</v>
      </c>
      <c r="Q30" s="43">
        <f>+C30-15018.5</f>
        <v>40973.958379999996</v>
      </c>
    </row>
    <row r="31" spans="1:21">
      <c r="A31" s="33" t="s">
        <v>51</v>
      </c>
      <c r="B31" s="34" t="s">
        <v>46</v>
      </c>
      <c r="C31" s="32">
        <v>55993.533430000003</v>
      </c>
      <c r="D31" s="32">
        <v>5.0000000000000001E-4</v>
      </c>
      <c r="E31" s="1">
        <f>+(C31-C$7)/C$8</f>
        <v>3349.3937450026719</v>
      </c>
      <c r="F31" s="35">
        <f>ROUND(2*E31,0)/2-1</f>
        <v>3348.5</v>
      </c>
      <c r="G31" s="1">
        <f>+C31-(C$7+F31*C$8)</f>
        <v>0.3901045000020531</v>
      </c>
      <c r="K31" s="1">
        <f>+G31</f>
        <v>0.3901045000020531</v>
      </c>
      <c r="O31" s="1">
        <f ca="1">+C$11+C$12*$F31</f>
        <v>0.41410974492907759</v>
      </c>
      <c r="Q31" s="43">
        <f>+C31-15018.5</f>
        <v>40975.033430000003</v>
      </c>
    </row>
    <row r="32" spans="1:21">
      <c r="A32" s="32" t="s">
        <v>52</v>
      </c>
      <c r="B32" s="34" t="s">
        <v>47</v>
      </c>
      <c r="C32" s="36">
        <v>56683.705289999998</v>
      </c>
      <c r="D32" s="32">
        <v>1E-3</v>
      </c>
      <c r="E32" s="1">
        <f>+(C32-C$7)/C$8</f>
        <v>4930.6050636565369</v>
      </c>
      <c r="F32" s="35">
        <f>ROUND(2*E32,0)/2-1</f>
        <v>4929.5</v>
      </c>
      <c r="G32" s="1">
        <f>+C32-(C$7+F32*C$8)</f>
        <v>0.48234149999916553</v>
      </c>
      <c r="K32" s="1">
        <f>+G32</f>
        <v>0.48234149999916553</v>
      </c>
      <c r="O32" s="1">
        <f ca="1">+C$11+C$12*$F32</f>
        <v>0.48520546991845082</v>
      </c>
      <c r="Q32" s="43">
        <f>+C32-15018.5</f>
        <v>41665.205289999998</v>
      </c>
    </row>
    <row r="33" spans="1:17">
      <c r="A33" s="32" t="s">
        <v>52</v>
      </c>
      <c r="B33" s="34" t="s">
        <v>46</v>
      </c>
      <c r="C33" s="36">
        <v>56754.43967</v>
      </c>
      <c r="D33" s="32">
        <v>5.9999999999999995E-4</v>
      </c>
      <c r="E33" s="1">
        <f>+(C33-C$7)/C$8</f>
        <v>5092.6603556152195</v>
      </c>
      <c r="F33" s="35">
        <f>ROUND(2*E33,0)/2-1</f>
        <v>5091.5</v>
      </c>
      <c r="G33" s="1">
        <f>+C33-(C$7+F33*C$8)</f>
        <v>0.50647549999848707</v>
      </c>
      <c r="K33" s="1">
        <f>+G33</f>
        <v>0.50647549999848707</v>
      </c>
      <c r="O33" s="1">
        <f ca="1">+C$11+C$12*$F33</f>
        <v>0.49249042086612849</v>
      </c>
      <c r="Q33" s="43">
        <f>+C33-15018.5</f>
        <v>41735.93967</v>
      </c>
    </row>
    <row r="34" spans="1:17">
      <c r="A34" s="32" t="s">
        <v>52</v>
      </c>
      <c r="B34" s="34" t="s">
        <v>46</v>
      </c>
      <c r="C34" s="36">
        <v>56754.440860000002</v>
      </c>
      <c r="D34" s="32">
        <v>5.9999999999999995E-4</v>
      </c>
      <c r="E34" s="1">
        <f>+(C34-C$7)/C$8</f>
        <v>5092.6630819527927</v>
      </c>
      <c r="F34" s="35">
        <f>ROUND(2*E34,0)/2-1</f>
        <v>5091.5</v>
      </c>
      <c r="G34" s="1">
        <f>+C34-(C$7+F34*C$8)</f>
        <v>0.50766550000116695</v>
      </c>
      <c r="K34" s="1">
        <f>+G34</f>
        <v>0.50766550000116695</v>
      </c>
      <c r="O34" s="1">
        <f ca="1">+C$11+C$12*$F34</f>
        <v>0.49249042086612849</v>
      </c>
      <c r="Q34" s="43">
        <f>+C34-15018.5</f>
        <v>41735.940860000002</v>
      </c>
    </row>
    <row r="35" spans="1:17">
      <c r="A35" s="32" t="s">
        <v>52</v>
      </c>
      <c r="B35" s="34" t="s">
        <v>46</v>
      </c>
      <c r="C35" s="36">
        <v>56754.441059999997</v>
      </c>
      <c r="D35" s="32">
        <v>2.9999999999999997E-4</v>
      </c>
      <c r="E35" s="1">
        <f>+(C35-C$7)/C$8</f>
        <v>5092.6635401607755</v>
      </c>
      <c r="F35" s="35">
        <f>ROUND(2*E35,0)/2-1</f>
        <v>5091.5</v>
      </c>
      <c r="G35" s="1">
        <f>+C35-(C$7+F35*C$8)</f>
        <v>0.50786549999611452</v>
      </c>
      <c r="K35" s="1">
        <f>+G35</f>
        <v>0.50786549999611452</v>
      </c>
      <c r="O35" s="1">
        <f ca="1">+C$11+C$12*$F35</f>
        <v>0.49249042086612849</v>
      </c>
      <c r="Q35" s="43">
        <f>+C35-15018.5</f>
        <v>41735.941059999997</v>
      </c>
    </row>
    <row r="36" spans="1:17" ht="12" customHeight="1">
      <c r="A36" s="37" t="s">
        <v>53</v>
      </c>
      <c r="B36" s="38" t="s">
        <v>47</v>
      </c>
      <c r="C36" s="37">
        <v>57400.7189</v>
      </c>
      <c r="D36" s="37">
        <v>6.9999999999999999E-4</v>
      </c>
      <c r="E36" s="1">
        <f>+(C36-C$7)/C$8</f>
        <v>6573.3119044727928</v>
      </c>
      <c r="F36" s="39">
        <f>ROUND(2*E36,0)/2-1.5</f>
        <v>6572</v>
      </c>
      <c r="G36" s="1">
        <f>+C36-(C$7+F36*C$8)</f>
        <v>0.57262400000035996</v>
      </c>
      <c r="K36" s="1">
        <f>+G36</f>
        <v>0.57262400000035996</v>
      </c>
      <c r="O36" s="1">
        <f ca="1">+C$11+C$12*$F36</f>
        <v>0.55906677813796091</v>
      </c>
      <c r="Q36" s="43">
        <f>+C36-15018.5</f>
        <v>42382.2189</v>
      </c>
    </row>
    <row r="37" spans="1:17" ht="12" customHeight="1">
      <c r="A37" s="37" t="s">
        <v>53</v>
      </c>
      <c r="B37" s="38" t="s">
        <v>46</v>
      </c>
      <c r="C37" s="37">
        <v>57400.899599999997</v>
      </c>
      <c r="D37" s="37">
        <v>6.9999999999999999E-4</v>
      </c>
      <c r="E37" s="1">
        <f>+(C37-C$7)/C$8</f>
        <v>6573.7258953956862</v>
      </c>
      <c r="F37" s="39">
        <f>ROUND(2*E37,0)/2-1.5</f>
        <v>6572</v>
      </c>
      <c r="G37" s="1">
        <f>+C37-(C$7+F37*C$8)</f>
        <v>0.75332399999751942</v>
      </c>
      <c r="K37" s="1">
        <f>+G37</f>
        <v>0.75332399999751942</v>
      </c>
      <c r="O37" s="1">
        <f ca="1">+C$11+C$12*$F37</f>
        <v>0.55906677813796091</v>
      </c>
      <c r="Q37" s="43">
        <f>+C37-15018.5</f>
        <v>42382.399599999997</v>
      </c>
    </row>
    <row r="38" spans="1:17" ht="12" customHeight="1">
      <c r="A38" s="40" t="s">
        <v>55</v>
      </c>
      <c r="B38" s="41" t="s">
        <v>47</v>
      </c>
      <c r="C38" s="42">
        <v>57775.698230000213</v>
      </c>
      <c r="D38" s="42">
        <v>5.9999999999999995E-4</v>
      </c>
      <c r="E38" s="1">
        <f>+(C38-C$7)/C$8</f>
        <v>7432.404538092459</v>
      </c>
      <c r="F38" s="39">
        <f>ROUND(2*E38,0)/2-1.5</f>
        <v>7431</v>
      </c>
      <c r="G38" s="1">
        <f>+C38-(C$7+F38*C$8)</f>
        <v>0.61305700021330267</v>
      </c>
      <c r="K38" s="1">
        <f>+G38</f>
        <v>0.61305700021330267</v>
      </c>
      <c r="O38" s="1">
        <f ca="1">+C$11+C$12*$F38</f>
        <v>0.59769500569385692</v>
      </c>
      <c r="Q38" s="43">
        <f>+C38-15018.5</f>
        <v>42757.198230000213</v>
      </c>
    </row>
    <row r="39" spans="1:17" ht="12" customHeight="1">
      <c r="A39" s="40" t="s">
        <v>54</v>
      </c>
      <c r="B39" s="41" t="s">
        <v>46</v>
      </c>
      <c r="C39" s="42">
        <v>58886.677738999948</v>
      </c>
      <c r="D39" s="42">
        <v>1.0078E-2</v>
      </c>
      <c r="E39" s="1">
        <f>+(C39-C$7)/C$8</f>
        <v>9977.7030010331346</v>
      </c>
      <c r="F39" s="39">
        <f>ROUND(2*E39,0)/2-1.5</f>
        <v>9976</v>
      </c>
      <c r="G39" s="1">
        <f>+C39-(C$7+F39*C$8)</f>
        <v>0.7433309999469202</v>
      </c>
      <c r="K39" s="1">
        <f>+G39</f>
        <v>0.7433309999469202</v>
      </c>
      <c r="O39" s="1">
        <f ca="1">+C$11+C$12*$F39</f>
        <v>0.71214068570521349</v>
      </c>
      <c r="Q39" s="43">
        <f>+C39-15018.5</f>
        <v>43868.177738999948</v>
      </c>
    </row>
    <row r="40" spans="1:17" ht="12" customHeight="1">
      <c r="A40" s="44" t="s">
        <v>56</v>
      </c>
      <c r="B40" s="45" t="s">
        <v>46</v>
      </c>
      <c r="C40" s="46">
        <v>59676.395100000002</v>
      </c>
      <c r="D40" s="44">
        <v>4.0000000000000002E-4</v>
      </c>
      <c r="E40" s="1">
        <f>+(C40-C$7)/C$8</f>
        <v>11786.977041488442</v>
      </c>
      <c r="F40" s="39">
        <f>ROUND(2*E40,0)/2-1.5</f>
        <v>11785.5</v>
      </c>
      <c r="G40" s="1">
        <f>+C40-(C$7+F40*C$8)</f>
        <v>0.64470350000192411</v>
      </c>
      <c r="K40" s="1">
        <f>+G40</f>
        <v>0.64470350000192411</v>
      </c>
      <c r="O40" s="1">
        <f ca="1">+C$11+C$12*$F40</f>
        <v>0.79351178903745312</v>
      </c>
      <c r="Q40" s="43">
        <f>+C40-15018.5</f>
        <v>44657.895100000002</v>
      </c>
    </row>
    <row r="41" spans="1:17" ht="12" customHeight="1"/>
    <row r="42" spans="1:17" ht="12" customHeight="1"/>
    <row r="43" spans="1:17" ht="12" customHeight="1"/>
    <row r="44" spans="1:17" ht="12" customHeight="1"/>
  </sheetData>
  <sheetProtection selectLockedCells="1" selectUnlockedCells="1"/>
  <sortState xmlns:xlrd2="http://schemas.microsoft.com/office/spreadsheetml/2017/richdata2" ref="A21:U40">
    <sortCondition ref="C21:C4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2023-01-25T04:52:36Z</dcterms:created>
  <dcterms:modified xsi:type="dcterms:W3CDTF">2023-01-25T04:52:56Z</dcterms:modified>
</cp:coreProperties>
</file>