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2BF7620-6C08-4A03-8F1B-2A5667578AE4}" xr6:coauthVersionLast="47" xr6:coauthVersionMax="47" xr10:uidLastSave="{00000000-0000-0000-0000-000000000000}"/>
  <bookViews>
    <workbookView xWindow="13200" yWindow="105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9" i="1" l="1"/>
  <c r="Q60" i="1"/>
  <c r="Q61" i="1"/>
  <c r="Q58" i="1"/>
  <c r="Q49" i="1"/>
  <c r="Q50" i="1"/>
  <c r="Q55" i="1"/>
  <c r="Q57" i="1"/>
  <c r="D9" i="1"/>
  <c r="C9" i="1"/>
  <c r="Q56" i="1"/>
  <c r="C4" i="1"/>
  <c r="C7" i="1" s="1"/>
  <c r="D4" i="1"/>
  <c r="C8" i="1"/>
  <c r="Q53" i="1"/>
  <c r="Q52" i="1"/>
  <c r="Q54" i="1"/>
  <c r="Q21" i="1"/>
  <c r="Q24" i="1"/>
  <c r="Q25" i="1"/>
  <c r="Q51" i="1"/>
  <c r="G38" i="2"/>
  <c r="C38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37" i="2"/>
  <c r="C37" i="2"/>
  <c r="E37" i="2"/>
  <c r="G16" i="2"/>
  <c r="C16" i="2"/>
  <c r="G15" i="2"/>
  <c r="C15" i="2"/>
  <c r="G36" i="2"/>
  <c r="C36" i="2"/>
  <c r="E36" i="2"/>
  <c r="G14" i="2"/>
  <c r="C14" i="2"/>
  <c r="G35" i="2"/>
  <c r="C35" i="2"/>
  <c r="E35" i="2"/>
  <c r="G34" i="2"/>
  <c r="C34" i="2"/>
  <c r="E34" i="2"/>
  <c r="G13" i="2"/>
  <c r="C13" i="2"/>
  <c r="G12" i="2"/>
  <c r="C12" i="2"/>
  <c r="G11" i="2"/>
  <c r="C11" i="2"/>
  <c r="G33" i="2"/>
  <c r="C33" i="2"/>
  <c r="G32" i="2"/>
  <c r="C32" i="2"/>
  <c r="G31" i="2"/>
  <c r="C31" i="2"/>
  <c r="E31" i="2"/>
  <c r="G30" i="2"/>
  <c r="C30" i="2"/>
  <c r="E30" i="2"/>
  <c r="G29" i="2"/>
  <c r="C29" i="2"/>
  <c r="H38" i="2"/>
  <c r="B38" i="2"/>
  <c r="D38" i="2"/>
  <c r="A38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37" i="2"/>
  <c r="B37" i="2"/>
  <c r="D37" i="2"/>
  <c r="A37" i="2"/>
  <c r="H16" i="2"/>
  <c r="B16" i="2"/>
  <c r="D16" i="2"/>
  <c r="A16" i="2"/>
  <c r="H15" i="2"/>
  <c r="B15" i="2"/>
  <c r="D15" i="2"/>
  <c r="A15" i="2"/>
  <c r="H36" i="2"/>
  <c r="B36" i="2"/>
  <c r="D36" i="2"/>
  <c r="A36" i="2"/>
  <c r="H14" i="2"/>
  <c r="B14" i="2"/>
  <c r="D14" i="2"/>
  <c r="A14" i="2"/>
  <c r="H35" i="2"/>
  <c r="B35" i="2"/>
  <c r="D35" i="2"/>
  <c r="A35" i="2"/>
  <c r="H34" i="2"/>
  <c r="B34" i="2"/>
  <c r="D34" i="2"/>
  <c r="A3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Q47" i="1"/>
  <c r="Q48" i="1"/>
  <c r="Q46" i="1"/>
  <c r="Q45" i="1"/>
  <c r="Q43" i="1"/>
  <c r="Q32" i="1"/>
  <c r="Q37" i="1"/>
  <c r="Q41" i="1"/>
  <c r="Q42" i="1"/>
  <c r="Q30" i="1"/>
  <c r="Q31" i="1"/>
  <c r="F16" i="1"/>
  <c r="C17" i="1"/>
  <c r="Q44" i="1"/>
  <c r="Q40" i="1"/>
  <c r="Q38" i="1"/>
  <c r="Q36" i="1"/>
  <c r="Q34" i="1"/>
  <c r="Q33" i="1"/>
  <c r="Q23" i="1"/>
  <c r="Q22" i="1"/>
  <c r="Q35" i="1"/>
  <c r="Q29" i="1"/>
  <c r="Q39" i="1"/>
  <c r="Q27" i="1"/>
  <c r="Q28" i="1"/>
  <c r="B2" i="1"/>
  <c r="Q26" i="1"/>
  <c r="E59" i="1" l="1"/>
  <c r="F59" i="1" s="1"/>
  <c r="G59" i="1" s="1"/>
  <c r="K59" i="1" s="1"/>
  <c r="E55" i="1"/>
  <c r="F55" i="1" s="1"/>
  <c r="G55" i="1" s="1"/>
  <c r="K55" i="1" s="1"/>
  <c r="E24" i="1"/>
  <c r="F24" i="1" s="1"/>
  <c r="G24" i="1" s="1"/>
  <c r="K24" i="1" s="1"/>
  <c r="E52" i="1"/>
  <c r="F52" i="1" s="1"/>
  <c r="E42" i="1"/>
  <c r="G57" i="1"/>
  <c r="K57" i="1" s="1"/>
  <c r="E40" i="1"/>
  <c r="E48" i="1"/>
  <c r="E37" i="1"/>
  <c r="F37" i="1" s="1"/>
  <c r="G37" i="1" s="1"/>
  <c r="J37" i="1" s="1"/>
  <c r="E22" i="1"/>
  <c r="F22" i="1" s="1"/>
  <c r="G22" i="1" s="1"/>
  <c r="K22" i="1" s="1"/>
  <c r="E27" i="1"/>
  <c r="F27" i="1" s="1"/>
  <c r="E39" i="1"/>
  <c r="E36" i="1"/>
  <c r="F36" i="1" s="1"/>
  <c r="G36" i="1" s="1"/>
  <c r="K36" i="1" s="1"/>
  <c r="E29" i="1"/>
  <c r="E50" i="1"/>
  <c r="F50" i="1" s="1"/>
  <c r="G50" i="1" s="1"/>
  <c r="K50" i="1" s="1"/>
  <c r="E34" i="1"/>
  <c r="E31" i="1"/>
  <c r="F31" i="1" s="1"/>
  <c r="G31" i="1" s="1"/>
  <c r="K31" i="1" s="1"/>
  <c r="E25" i="1"/>
  <c r="F25" i="1" s="1"/>
  <c r="G25" i="1" s="1"/>
  <c r="K25" i="1" s="1"/>
  <c r="E47" i="1"/>
  <c r="F47" i="1" s="1"/>
  <c r="G47" i="1" s="1"/>
  <c r="K47" i="1" s="1"/>
  <c r="E60" i="1"/>
  <c r="F60" i="1" s="1"/>
  <c r="G60" i="1" s="1"/>
  <c r="K60" i="1" s="1"/>
  <c r="E58" i="1"/>
  <c r="F58" i="1" s="1"/>
  <c r="G58" i="1" s="1"/>
  <c r="K58" i="1" s="1"/>
  <c r="U52" i="1"/>
  <c r="E23" i="1"/>
  <c r="F23" i="1" s="1"/>
  <c r="G23" i="1" s="1"/>
  <c r="K23" i="1" s="1"/>
  <c r="E26" i="1"/>
  <c r="F26" i="1" s="1"/>
  <c r="G26" i="1" s="1"/>
  <c r="E32" i="1"/>
  <c r="F32" i="1" s="1"/>
  <c r="G32" i="1" s="1"/>
  <c r="J32" i="1" s="1"/>
  <c r="E44" i="1"/>
  <c r="G49" i="1"/>
  <c r="K49" i="1" s="1"/>
  <c r="E54" i="1"/>
  <c r="F54" i="1" s="1"/>
  <c r="G54" i="1" s="1"/>
  <c r="K54" i="1" s="1"/>
  <c r="E30" i="1"/>
  <c r="F30" i="1" s="1"/>
  <c r="G30" i="1" s="1"/>
  <c r="K30" i="1" s="1"/>
  <c r="E46" i="1"/>
  <c r="E33" i="1"/>
  <c r="F33" i="1" s="1"/>
  <c r="G33" i="1" s="1"/>
  <c r="K33" i="1" s="1"/>
  <c r="E41" i="1"/>
  <c r="E51" i="1"/>
  <c r="E53" i="1"/>
  <c r="F53" i="1" s="1"/>
  <c r="G53" i="1" s="1"/>
  <c r="K53" i="1" s="1"/>
  <c r="E35" i="1"/>
  <c r="E38" i="1"/>
  <c r="E28" i="1"/>
  <c r="E57" i="1"/>
  <c r="F57" i="1" s="1"/>
  <c r="E45" i="1"/>
  <c r="F45" i="1" s="1"/>
  <c r="U45" i="1" s="1"/>
  <c r="E61" i="1"/>
  <c r="F61" i="1" s="1"/>
  <c r="G61" i="1" s="1"/>
  <c r="K61" i="1" s="1"/>
  <c r="E49" i="1"/>
  <c r="F49" i="1" s="1"/>
  <c r="E21" i="1"/>
  <c r="E56" i="1"/>
  <c r="F56" i="1" s="1"/>
  <c r="G56" i="1" s="1"/>
  <c r="K56" i="1" s="1"/>
  <c r="E43" i="1"/>
  <c r="E33" i="2"/>
  <c r="E32" i="2"/>
  <c r="E25" i="2"/>
  <c r="E27" i="2"/>
  <c r="E17" i="2"/>
  <c r="E14" i="2"/>
  <c r="F17" i="1"/>
  <c r="F48" i="1" l="1"/>
  <c r="G48" i="1" s="1"/>
  <c r="J48" i="1" s="1"/>
  <c r="E28" i="2"/>
  <c r="E38" i="2"/>
  <c r="F51" i="1"/>
  <c r="G51" i="1" s="1"/>
  <c r="J51" i="1" s="1"/>
  <c r="F40" i="1"/>
  <c r="G40" i="1" s="1"/>
  <c r="K40" i="1" s="1"/>
  <c r="E20" i="2"/>
  <c r="F41" i="1"/>
  <c r="G41" i="1" s="1"/>
  <c r="K41" i="1" s="1"/>
  <c r="E21" i="2"/>
  <c r="E19" i="2"/>
  <c r="F39" i="1"/>
  <c r="G39" i="1" s="1"/>
  <c r="K39" i="1" s="1"/>
  <c r="F42" i="1"/>
  <c r="G42" i="1" s="1"/>
  <c r="E22" i="2"/>
  <c r="F28" i="1"/>
  <c r="G28" i="1" s="1"/>
  <c r="J28" i="1" s="1"/>
  <c r="E12" i="2"/>
  <c r="F34" i="1"/>
  <c r="G34" i="1" s="1"/>
  <c r="K34" i="1" s="1"/>
  <c r="E15" i="2"/>
  <c r="E29" i="2"/>
  <c r="F21" i="1"/>
  <c r="G21" i="1" s="1"/>
  <c r="K21" i="1" s="1"/>
  <c r="E26" i="2"/>
  <c r="F46" i="1"/>
  <c r="G46" i="1" s="1"/>
  <c r="K46" i="1" s="1"/>
  <c r="F38" i="1"/>
  <c r="G38" i="1" s="1"/>
  <c r="K38" i="1" s="1"/>
  <c r="E18" i="2"/>
  <c r="F35" i="1"/>
  <c r="G35" i="1" s="1"/>
  <c r="K35" i="1" s="1"/>
  <c r="E16" i="2"/>
  <c r="E11" i="2"/>
  <c r="F43" i="1"/>
  <c r="G43" i="1" s="1"/>
  <c r="K43" i="1" s="1"/>
  <c r="E23" i="2"/>
  <c r="E13" i="2"/>
  <c r="F29" i="1"/>
  <c r="G29" i="1" s="1"/>
  <c r="J29" i="1" s="1"/>
  <c r="E24" i="2"/>
  <c r="F44" i="1"/>
  <c r="G44" i="1" s="1"/>
  <c r="K44" i="1" s="1"/>
  <c r="C11" i="1"/>
  <c r="C12" i="1"/>
  <c r="C16" i="1" l="1"/>
  <c r="D18" i="1" s="1"/>
  <c r="O54" i="1"/>
  <c r="O48" i="1"/>
  <c r="O53" i="1"/>
  <c r="O52" i="1"/>
  <c r="O50" i="1"/>
  <c r="O46" i="1"/>
  <c r="O44" i="1"/>
  <c r="C15" i="1"/>
  <c r="O60" i="1"/>
  <c r="O59" i="1"/>
  <c r="O47" i="1"/>
  <c r="O43" i="1"/>
  <c r="O42" i="1"/>
  <c r="O56" i="1"/>
  <c r="O61" i="1"/>
  <c r="O49" i="1"/>
  <c r="O51" i="1"/>
  <c r="O55" i="1"/>
  <c r="O57" i="1"/>
  <c r="O58" i="1"/>
  <c r="O45" i="1"/>
  <c r="K42" i="1"/>
  <c r="F18" i="1" l="1"/>
  <c r="F19" i="1" s="1"/>
  <c r="C18" i="1"/>
</calcChain>
</file>

<file path=xl/sharedStrings.xml><?xml version="1.0" encoding="utf-8"?>
<sst xmlns="http://schemas.openxmlformats.org/spreadsheetml/2006/main" count="376" uniqueCount="215">
  <si>
    <t>JAVSO..44..164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</si>
  <si>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</si>
  <si>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</si>
  <si>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</si>
  <si>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</si>
  <si>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</si>
  <si>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</si>
  <si>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</si>
  <si>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</si>
  <si>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</si>
  <si>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</si>
  <si>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</si>
  <si>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</si>
  <si>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</si>
  <si>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</si>
  <si>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</si>
  <si>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</si>
  <si>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</si>
  <si>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</si>
  <si>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</si>
  <si>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</si>
  <si>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</si>
  <si>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</si>
  <si>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</si>
  <si>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</si>
  <si>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</si>
  <si>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</si>
  <si>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</si>
  <si>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</si>
  <si>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</si>
  <si>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</si>
  <si>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</si>
  <si>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</si>
  <si>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</si>
  <si>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</si>
  <si>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</si>
  <si>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</si>
  <si>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</si>
  <si>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ES UMa / GSC 4383-0384 </t>
  </si>
  <si>
    <t>EW</t>
  </si>
  <si>
    <t>IBVS 5438</t>
  </si>
  <si>
    <t>IBVS 5731</t>
  </si>
  <si>
    <t>IBVS 5874</t>
  </si>
  <si>
    <t>IBVS 5894</t>
  </si>
  <si>
    <t>OEJV 0107</t>
  </si>
  <si>
    <t>II</t>
  </si>
  <si>
    <t>IBVS 5929</t>
  </si>
  <si>
    <t>IBVS 5945</t>
  </si>
  <si>
    <t>Add cycle</t>
  </si>
  <si>
    <t>Old Cycle</t>
  </si>
  <si>
    <t>IBVS 5918</t>
  </si>
  <si>
    <t>IBVS 5992</t>
  </si>
  <si>
    <t>OEJV 0094</t>
  </si>
  <si>
    <t>IBVS 6029</t>
  </si>
  <si>
    <t>BAD?</t>
  </si>
  <si>
    <t>IBVS 6063</t>
  </si>
  <si>
    <t>IBVS 6050</t>
  </si>
  <si>
    <t>IBVS 6094</t>
  </si>
  <si>
    <t>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</si>
  <si>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</si>
  <si>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</si>
  <si>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</si>
  <si>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</si>
  <si>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</si>
  <si>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</si>
  <si>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</si>
  <si>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</si>
  <si>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</si>
  <si>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</si>
  <si>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</si>
  <si>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</si>
  <si>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2449104.3592 </t>
  </si>
  <si>
    <t> 26.04.1993 20:37 </t>
  </si>
  <si>
    <t> 0.0139 </t>
  </si>
  <si>
    <t>E </t>
  </si>
  <si>
    <t>?</t>
  </si>
  <si>
    <t> Mikulasek&amp;Hanzl </t>
  </si>
  <si>
    <t>IBVS 3914 </t>
  </si>
  <si>
    <t>2452030.4928 </t>
  </si>
  <si>
    <t> 30.04.2001 23:49 </t>
  </si>
  <si>
    <t> 0.0072 </t>
  </si>
  <si>
    <t>C </t>
  </si>
  <si>
    <t> M.Lehky </t>
  </si>
  <si>
    <t>OEJV 0107 </t>
  </si>
  <si>
    <t>2452033.3998 </t>
  </si>
  <si>
    <t> 03.05.2001 21:35 </t>
  </si>
  <si>
    <t> 0.0055 </t>
  </si>
  <si>
    <t>2452042.388 </t>
  </si>
  <si>
    <t> 12.05.2001 21:18 </t>
  </si>
  <si>
    <t> 0.003 </t>
  </si>
  <si>
    <t> R.Diethelm </t>
  </si>
  <si>
    <t> BBS 125 </t>
  </si>
  <si>
    <t>2452344.366 </t>
  </si>
  <si>
    <t> 10.03.2002 20:47 </t>
  </si>
  <si>
    <t> 0.006 </t>
  </si>
  <si>
    <t> BBS 127 </t>
  </si>
  <si>
    <t>2452658.497 </t>
  </si>
  <si>
    <t> 18.01.2003 23:55 </t>
  </si>
  <si>
    <t> -0.001 </t>
  </si>
  <si>
    <t> BBS 129 </t>
  </si>
  <si>
    <t>2453794.4755 </t>
  </si>
  <si>
    <t> 27.02.2006 23:24 </t>
  </si>
  <si>
    <t> 0.0027 </t>
  </si>
  <si>
    <t>-I</t>
  </si>
  <si>
    <t> F.Agerer </t>
  </si>
  <si>
    <t>BAVM 178 </t>
  </si>
  <si>
    <t>2454223.3736 </t>
  </si>
  <si>
    <t> 02.05.2007 20:57 </t>
  </si>
  <si>
    <t>3258</t>
  </si>
  <si>
    <t> 0.0015 </t>
  </si>
  <si>
    <t> M.&amp; C.Rätz </t>
  </si>
  <si>
    <t>BAVM 201 </t>
  </si>
  <si>
    <t>2454571.3601 </t>
  </si>
  <si>
    <t> 14.04.2008 20:38 </t>
  </si>
  <si>
    <t>3916</t>
  </si>
  <si>
    <t> 0.0031 </t>
  </si>
  <si>
    <t>R</t>
  </si>
  <si>
    <t> R.Ehrenberger </t>
  </si>
  <si>
    <t>OEJV 0094 </t>
  </si>
  <si>
    <t>2454585.3744 </t>
  </si>
  <si>
    <t> 28.04.2008 20:59 </t>
  </si>
  <si>
    <t>3942.5</t>
  </si>
  <si>
    <t> 0.0028 </t>
  </si>
  <si>
    <t>2454586.4317 </t>
  </si>
  <si>
    <t> 29.04.2008 22:21 </t>
  </si>
  <si>
    <t>3944.5</t>
  </si>
  <si>
    <t> 0.0024 </t>
  </si>
  <si>
    <t> M.&amp; K.Rätz </t>
  </si>
  <si>
    <t>BAVM 209 </t>
  </si>
  <si>
    <t>2454829.7015 </t>
  </si>
  <si>
    <t> 29.12.2008 04:50 </t>
  </si>
  <si>
    <t>4404.5</t>
  </si>
  <si>
    <t> 0.0001 </t>
  </si>
  <si>
    <t> L.Brát </t>
  </si>
  <si>
    <t>2454831.5531 </t>
  </si>
  <si>
    <t> 31.12.2008 01:16 </t>
  </si>
  <si>
    <t>4408</t>
  </si>
  <si>
    <t> 0.0007 </t>
  </si>
  <si>
    <t>2454863.8117 </t>
  </si>
  <si>
    <t> 01.02.2009 07:28 </t>
  </si>
  <si>
    <t>4469</t>
  </si>
  <si>
    <t> -0.0007 </t>
  </si>
  <si>
    <t>IBVS 5894 </t>
  </si>
  <si>
    <t>2454893.4302 </t>
  </si>
  <si>
    <t> 02.03.2009 22:19 </t>
  </si>
  <si>
    <t>4525</t>
  </si>
  <si>
    <t> 0.0021 </t>
  </si>
  <si>
    <t> H.Kucáková </t>
  </si>
  <si>
    <t>2454925.4245 </t>
  </si>
  <si>
    <t> 03.04.2009 22:11 </t>
  </si>
  <si>
    <t>4585.5</t>
  </si>
  <si>
    <t> 0.0008 </t>
  </si>
  <si>
    <t>o</t>
  </si>
  <si>
    <t> U.Schmidt </t>
  </si>
  <si>
    <t>2454926.4821 </t>
  </si>
  <si>
    <t> 04.04.2009 23:34 </t>
  </si>
  <si>
    <t>4587.5</t>
  </si>
  <si>
    <t>2455188.7928 </t>
  </si>
  <si>
    <t> 23.12.2009 07:01 </t>
  </si>
  <si>
    <t>5083.5</t>
  </si>
  <si>
    <t> 0.0006 </t>
  </si>
  <si>
    <t> R.Nelson </t>
  </si>
  <si>
    <t>IBVS 5929 </t>
  </si>
  <si>
    <t>2455298.7926 </t>
  </si>
  <si>
    <t> 12.04.2010 07:01 </t>
  </si>
  <si>
    <t>5291.5</t>
  </si>
  <si>
    <t> -0.0009 </t>
  </si>
  <si>
    <t>IBVS 5945 </t>
  </si>
  <si>
    <t>2455579.8774 </t>
  </si>
  <si>
    <t> 18.01.2011 09:03 </t>
  </si>
  <si>
    <t>5823</t>
  </si>
  <si>
    <t> -0.0011 </t>
  </si>
  <si>
    <t>IBVS 5992 </t>
  </si>
  <si>
    <t>2455644.6626 </t>
  </si>
  <si>
    <t> 24.03.2011 03:54 </t>
  </si>
  <si>
    <t>5945.5</t>
  </si>
  <si>
    <t> -0.0003 </t>
  </si>
  <si>
    <t>2455963.8235 </t>
  </si>
  <si>
    <t> 06.02.2012 07:45 </t>
  </si>
  <si>
    <t>6549</t>
  </si>
  <si>
    <t> -0.0019 </t>
  </si>
  <si>
    <t>IBVS 6029 </t>
  </si>
  <si>
    <t>2456012.7443 </t>
  </si>
  <si>
    <t> 26.03.2012 05:51 </t>
  </si>
  <si>
    <t>6641.5</t>
  </si>
  <si>
    <t>IBVS 6050 </t>
  </si>
  <si>
    <t>2456029.6708 </t>
  </si>
  <si>
    <t> 12.04.2012 04:05 </t>
  </si>
  <si>
    <t>6673.5</t>
  </si>
  <si>
    <t> 0.0033 </t>
  </si>
  <si>
    <t>2456312.8695 </t>
  </si>
  <si>
    <t> 20.01.2013 08:52 </t>
  </si>
  <si>
    <t>7209</t>
  </si>
  <si>
    <t>IBVS 6063 </t>
  </si>
  <si>
    <t>2456342.4839 </t>
  </si>
  <si>
    <t> 18.02.2013 23:36 </t>
  </si>
  <si>
    <t>7265</t>
  </si>
  <si>
    <t> 0.0002 </t>
  </si>
  <si>
    <t> C.Arena </t>
  </si>
  <si>
    <t>IBVS 6094 </t>
  </si>
  <si>
    <t>2456384.5276 </t>
  </si>
  <si>
    <t> 02.04.2013 00:39 </t>
  </si>
  <si>
    <t>7344.5</t>
  </si>
  <si>
    <t>BAVM 234 </t>
  </si>
  <si>
    <t>2457080.4987 </t>
  </si>
  <si>
    <t> 26.02.2015 23:58 </t>
  </si>
  <si>
    <t>8660.5</t>
  </si>
  <si>
    <t>BAVM 241 (=IBVS 6157) </t>
  </si>
  <si>
    <t>IBVS 6157</t>
  </si>
  <si>
    <t>IBVS 6196</t>
  </si>
  <si>
    <t>OEJV 0179</t>
  </si>
  <si>
    <t>RHN 2018</t>
  </si>
  <si>
    <t>RHN 2019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</si>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</sst>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21" fillId="0" borderId="0"/>
    <xf numFmtId="0" fontId="6" fillId="0" borderId="0"/>
    <xf numFmtId="0" fontId="2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7" fillId="0" borderId="0" xfId="0" applyFont="1" applyAlignment="1"/>
    <xf numFmtId="0" fontId="5" fillId="0" borderId="0" xfId="0" applyFont="1" applyAlignment="1"/>
    <xf numFmtId="0" fontId="19" fillId="0" borderId="0" xfId="0" applyFont="1" applyAlignment="1"/>
    <xf numFmtId="0" fontId="18" fillId="0" borderId="8" xfId="0" applyFont="1" applyFill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40" fillId="0" borderId="0" xfId="0" applyFont="1" applyAlignment="1"/>
    <xf numFmtId="0" fontId="16" fillId="0" borderId="0" xfId="0" applyFont="1" applyAlignment="1"/>
    <xf numFmtId="0" fontId="41" fillId="0" borderId="0" xfId="44" applyFont="1" applyAlignment="1">
      <alignment horizontal="left" vertical="center"/>
    </xf>
    <xf numFmtId="0" fontId="41" fillId="0" borderId="0" xfId="44" applyFont="1" applyAlignment="1">
      <alignment horizontal="center" vertical="center"/>
    </xf>
    <xf numFmtId="0" fontId="39" fillId="0" borderId="0" xfId="45" applyFont="1" applyAlignment="1">
      <alignment horizontal="left"/>
    </xf>
    <xf numFmtId="0" fontId="39" fillId="0" borderId="0" xfId="45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2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4-40FA-9A32-9149CE3BD0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54-40FA-9A32-9149CE3BD0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7">
                  <c:v>8.7198999972315505E-4</c:v>
                </c:pt>
                <c:pt idx="8">
                  <c:v>1.3785999908577651E-4</c:v>
                </c:pt>
                <c:pt idx="11">
                  <c:v>1.4565650053555146E-3</c:v>
                </c:pt>
                <c:pt idx="16">
                  <c:v>2.3353500000666827E-4</c:v>
                </c:pt>
                <c:pt idx="27">
                  <c:v>1.1345650054863654E-3</c:v>
                </c:pt>
                <c:pt idx="30">
                  <c:v>3.2262849999824539E-3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54-40FA-9A32-9149CE3BD0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7.0263450033962727E-3</c:v>
                </c:pt>
                <c:pt idx="1">
                  <c:v>3.510955000820104E-3</c:v>
                </c:pt>
                <c:pt idx="2">
                  <c:v>1.8358900051680394E-3</c:v>
                </c:pt>
                <c:pt idx="3">
                  <c:v>-5.152200028533116E-4</c:v>
                </c:pt>
                <c:pt idx="4">
                  <c:v>3.0898500044713728E-3</c:v>
                </c:pt>
                <c:pt idx="9">
                  <c:v>2.1837200038135052E-3</c:v>
                </c:pt>
                <c:pt idx="10">
                  <c:v>1.8702250017668121E-3</c:v>
                </c:pt>
                <c:pt idx="12">
                  <c:v>-5.4523499420611188E-4</c:v>
                </c:pt>
                <c:pt idx="13">
                  <c:v>3.3359996450599283E-5</c:v>
                </c:pt>
                <c:pt idx="14">
                  <c:v>-1.3282700019772165E-3</c:v>
                </c:pt>
                <c:pt idx="15">
                  <c:v>1.4792500005569309E-3</c:v>
                </c:pt>
                <c:pt idx="17">
                  <c:v>1.2987499940209091E-4</c:v>
                </c:pt>
                <c:pt idx="18">
                  <c:v>3.2219500280916691E-4</c:v>
                </c:pt>
                <c:pt idx="19">
                  <c:v>-1.0584449992165901E-3</c:v>
                </c:pt>
                <c:pt idx="20">
                  <c:v>-1.00609000219265E-3</c:v>
                </c:pt>
                <c:pt idx="21">
                  <c:v>-1.5526499191764742E-4</c:v>
                </c:pt>
                <c:pt idx="22">
                  <c:v>-1.3346699997782707E-3</c:v>
                </c:pt>
                <c:pt idx="23">
                  <c:v>6.7105500056641176E-4</c:v>
                </c:pt>
                <c:pt idx="25">
                  <c:v>2.4575300049036741E-3</c:v>
                </c:pt>
                <c:pt idx="26">
                  <c:v>1.1550499984878115E-3</c:v>
                </c:pt>
                <c:pt idx="28">
                  <c:v>2.6851399961742572E-3</c:v>
                </c:pt>
                <c:pt idx="29">
                  <c:v>2.6592249996610917E-3</c:v>
                </c:pt>
                <c:pt idx="32">
                  <c:v>4.7880250058369711E-3</c:v>
                </c:pt>
                <c:pt idx="33">
                  <c:v>5.2393000005395152E-3</c:v>
                </c:pt>
                <c:pt idx="34">
                  <c:v>3.3215549992746674E-3</c:v>
                </c:pt>
                <c:pt idx="35">
                  <c:v>5.2449149952735752E-3</c:v>
                </c:pt>
                <c:pt idx="36">
                  <c:v>6.0690500031341799E-3</c:v>
                </c:pt>
                <c:pt idx="37">
                  <c:v>8.0967800022335723E-3</c:v>
                </c:pt>
                <c:pt idx="38">
                  <c:v>6.5866849981830455E-3</c:v>
                </c:pt>
                <c:pt idx="39">
                  <c:v>5.8607700048014522E-3</c:v>
                </c:pt>
                <c:pt idx="40">
                  <c:v>1.1328125001455192E-2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54-40FA-9A32-9149CE3BD0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54-40FA-9A32-9149CE3BD0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54-40FA-9A32-9149CE3BD0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54-40FA-9A32-9149CE3BD0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1">
                  <c:v>-3.2358624998537252E-4</c:v>
                </c:pt>
                <c:pt idx="22">
                  <c:v>4.168173894635533E-4</c:v>
                </c:pt>
                <c:pt idx="23">
                  <c:v>5.3030096303277596E-4</c:v>
                </c:pt>
                <c:pt idx="24">
                  <c:v>5.6956014524050733E-4</c:v>
                </c:pt>
                <c:pt idx="25">
                  <c:v>1.2265380224980044E-3</c:v>
                </c:pt>
                <c:pt idx="26">
                  <c:v>1.2952415913615335E-3</c:v>
                </c:pt>
                <c:pt idx="27">
                  <c:v>1.3927761221588647E-3</c:v>
                </c:pt>
                <c:pt idx="28">
                  <c:v>2.9846132757379573E-3</c:v>
                </c:pt>
                <c:pt idx="29">
                  <c:v>2.9852267004599527E-3</c:v>
                </c:pt>
                <c:pt idx="30">
                  <c:v>3.0073099904518018E-3</c:v>
                </c:pt>
                <c:pt idx="31">
                  <c:v>3.0416617748835664E-3</c:v>
                </c:pt>
                <c:pt idx="32">
                  <c:v>3.7704103446145713E-3</c:v>
                </c:pt>
                <c:pt idx="33">
                  <c:v>3.7796117154445079E-3</c:v>
                </c:pt>
                <c:pt idx="34">
                  <c:v>3.7814519896104959E-3</c:v>
                </c:pt>
                <c:pt idx="35">
                  <c:v>5.5088560067506585E-3</c:v>
                </c:pt>
                <c:pt idx="36">
                  <c:v>6.448009256126222E-3</c:v>
                </c:pt>
                <c:pt idx="37">
                  <c:v>8.0048812005515529E-3</c:v>
                </c:pt>
                <c:pt idx="38">
                  <c:v>8.0619296996971603E-3</c:v>
                </c:pt>
                <c:pt idx="39">
                  <c:v>8.0625431244191574E-3</c:v>
                </c:pt>
                <c:pt idx="40">
                  <c:v>8.1011888819048916E-3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54-40FA-9A32-9149CE3BD0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plus>
            <c:min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6">
                  <c:v>-3.8971699977992103E-3</c:v>
                </c:pt>
                <c:pt idx="24">
                  <c:v>3.9124949980759993E-3</c:v>
                </c:pt>
                <c:pt idx="31">
                  <c:v>7.5950450045638718E-3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54-40FA-9A32-9149CE3B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4536"/>
        <c:axId val="1"/>
      </c:scatterChart>
      <c:valAx>
        <c:axId val="93554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142875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DED6E1-0ECF-2649-F585-99FDAA0A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07.pdf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3914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6"/>
  <sheetViews>
    <sheetView tabSelected="1" workbookViewId="0">
      <pane xSplit="14" ySplit="21" topLeftCell="P5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38</v>
      </c>
      <c r="F1" s="3">
        <v>52500.374199999998</v>
      </c>
      <c r="G1" s="3">
        <v>0.52885183000000002</v>
      </c>
      <c r="H1" s="3" t="s">
        <v>39</v>
      </c>
    </row>
    <row r="2" spans="1:8" x14ac:dyDescent="0.2">
      <c r="A2" t="s">
        <v>24</v>
      </c>
      <c r="B2" t="str">
        <f>H1</f>
        <v>EW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f>F1</f>
        <v>52500.374199999998</v>
      </c>
      <c r="D4" s="9">
        <f>G1</f>
        <v>0.52885183000000002</v>
      </c>
    </row>
    <row r="5" spans="1:8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52500.374199999998</v>
      </c>
    </row>
    <row r="8" spans="1:8" x14ac:dyDescent="0.2">
      <c r="A8" t="s">
        <v>4</v>
      </c>
      <c r="C8">
        <f>D4</f>
        <v>0.52885183000000002</v>
      </c>
      <c r="D8" s="29"/>
    </row>
    <row r="9" spans="1:8" x14ac:dyDescent="0.2">
      <c r="A9" s="26" t="s">
        <v>34</v>
      </c>
      <c r="B9" s="27">
        <v>42</v>
      </c>
      <c r="C9" s="24" t="str">
        <f>"F"&amp;B9</f>
        <v>F42</v>
      </c>
      <c r="D9" s="25" t="str">
        <f>"G"&amp;B9</f>
        <v>G42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3">
        <f ca="1">INTERCEPT(INDIRECT($D$9):G985,INDIRECT($C$9):F985)</f>
        <v>-7.617819619237385E-3</v>
      </c>
      <c r="D11" s="3"/>
      <c r="E11" s="12"/>
    </row>
    <row r="12" spans="1:8" x14ac:dyDescent="0.2">
      <c r="A12" s="12" t="s">
        <v>17</v>
      </c>
      <c r="B12" s="12"/>
      <c r="C12" s="23">
        <f ca="1">SLOPE(INDIRECT($D$9):G985,INDIRECT($C$9):F985)</f>
        <v>1.2268494439915924E-6</v>
      </c>
      <c r="D12" s="3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(C7+C11)+(C8+C12)*INT(MAX(F21:F3526))</f>
        <v>59276.031946535455</v>
      </c>
      <c r="E15" s="16" t="s">
        <v>48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0.52885305684944406</v>
      </c>
      <c r="E16" s="16" t="s">
        <v>31</v>
      </c>
      <c r="F16" s="17">
        <f ca="1">NOW()+15018.5+$C$5/24</f>
        <v>59969.746511574071</v>
      </c>
    </row>
    <row r="17" spans="1:21" ht="13.5" thickBot="1" x14ac:dyDescent="0.25">
      <c r="A17" s="16" t="s">
        <v>28</v>
      </c>
      <c r="B17" s="12"/>
      <c r="C17" s="12">
        <f>COUNT(C21:C2184)</f>
        <v>41</v>
      </c>
      <c r="E17" s="16" t="s">
        <v>49</v>
      </c>
      <c r="F17" s="17">
        <f ca="1">ROUND(2*(F16-$C$7)/$C$8,0)/2+F15</f>
        <v>14125</v>
      </c>
    </row>
    <row r="18" spans="1:21" ht="14.25" thickTop="1" thickBot="1" x14ac:dyDescent="0.25">
      <c r="A18" s="18" t="s">
        <v>6</v>
      </c>
      <c r="B18" s="12"/>
      <c r="C18" s="21">
        <f ca="1">+C15</f>
        <v>59276.031946535455</v>
      </c>
      <c r="D18" s="22">
        <f ca="1">+C16</f>
        <v>0.52885305684944406</v>
      </c>
      <c r="E18" s="16" t="s">
        <v>32</v>
      </c>
      <c r="F18" s="25">
        <f ca="1">ROUND(2*(F16-$C$15)/$C$16,0)/2+F15</f>
        <v>1312.5</v>
      </c>
    </row>
    <row r="19" spans="1:21" ht="13.5" thickTop="1" x14ac:dyDescent="0.2">
      <c r="E19" s="16" t="s">
        <v>33</v>
      </c>
      <c r="F19" s="20">
        <f ca="1">+$C$15+$C$16*F18-15018.5-$C$5/24</f>
        <v>44952.047416983689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3" t="s">
        <v>54</v>
      </c>
    </row>
    <row r="21" spans="1:21" x14ac:dyDescent="0.2">
      <c r="A21" s="64" t="s">
        <v>77</v>
      </c>
      <c r="B21" s="64" t="s">
        <v>45</v>
      </c>
      <c r="C21" s="65">
        <v>49104.359199999999</v>
      </c>
      <c r="D21" s="10"/>
      <c r="E21" s="41">
        <f>+(C21-C$7)/C$8</f>
        <v>-6421.4867139629623</v>
      </c>
      <c r="F21">
        <f>ROUND(2*E21,0)/2</f>
        <v>-6421.5</v>
      </c>
      <c r="G21">
        <f>+C21-(C$7+F21*C$8)</f>
        <v>7.0263450033962727E-3</v>
      </c>
      <c r="K21">
        <f>+G21</f>
        <v>7.0263450033962727E-3</v>
      </c>
      <c r="Q21" s="2">
        <f>+C21-15018.5</f>
        <v>34085.859199999999</v>
      </c>
      <c r="U21" s="42"/>
    </row>
    <row r="22" spans="1:21" x14ac:dyDescent="0.2">
      <c r="A22" s="32" t="s">
        <v>44</v>
      </c>
      <c r="B22" s="33" t="s">
        <v>35</v>
      </c>
      <c r="C22" s="34">
        <v>52030.492859999998</v>
      </c>
      <c r="D22" s="34">
        <v>6.9999999999999999E-4</v>
      </c>
      <c r="E22">
        <f>+(C22-C$7)/C$8</f>
        <v>-888.49336117452765</v>
      </c>
      <c r="F22">
        <f>ROUND(2*E22,0)/2</f>
        <v>-888.5</v>
      </c>
      <c r="G22">
        <f>+C22-(C$7+F22*C$8)</f>
        <v>3.510955000820104E-3</v>
      </c>
      <c r="K22">
        <f>+G22</f>
        <v>3.510955000820104E-3</v>
      </c>
      <c r="Q22" s="2">
        <f>+C22-15018.5</f>
        <v>37011.992859999998</v>
      </c>
      <c r="U22" s="44"/>
    </row>
    <row r="23" spans="1:21" x14ac:dyDescent="0.2">
      <c r="A23" s="32" t="s">
        <v>44</v>
      </c>
      <c r="B23" s="33" t="s">
        <v>45</v>
      </c>
      <c r="C23" s="34">
        <v>52033.399870000001</v>
      </c>
      <c r="D23" s="34">
        <v>8.0000000000000004E-4</v>
      </c>
      <c r="E23">
        <f>+(C23-C$7)/C$8</f>
        <v>-882.9965285361634</v>
      </c>
      <c r="F23">
        <f>ROUND(2*E23,0)/2</f>
        <v>-883</v>
      </c>
      <c r="G23">
        <f>+C23-(C$7+F23*C$8)</f>
        <v>1.8358900051680394E-3</v>
      </c>
      <c r="K23">
        <f>+G23</f>
        <v>1.8358900051680394E-3</v>
      </c>
      <c r="Q23" s="2">
        <f>+C23-15018.5</f>
        <v>37014.899870000001</v>
      </c>
      <c r="U23" s="44"/>
    </row>
    <row r="24" spans="1:21" x14ac:dyDescent="0.2">
      <c r="A24" s="64" t="s">
        <v>91</v>
      </c>
      <c r="B24" s="64" t="s">
        <v>35</v>
      </c>
      <c r="C24" s="65">
        <v>52042.387999999999</v>
      </c>
      <c r="D24" s="10"/>
      <c r="E24" s="41">
        <f>+(C24-C$7)/C$8</f>
        <v>-866.00097422372414</v>
      </c>
      <c r="F24">
        <f>ROUND(2*E24,0)/2</f>
        <v>-866</v>
      </c>
      <c r="G24">
        <f>+C24-(C$7+F24*C$8)</f>
        <v>-5.152200028533116E-4</v>
      </c>
      <c r="K24">
        <f>+G24</f>
        <v>-5.152200028533116E-4</v>
      </c>
      <c r="Q24" s="2">
        <f>+C24-15018.5</f>
        <v>37023.887999999999</v>
      </c>
    </row>
    <row r="25" spans="1:21" x14ac:dyDescent="0.2">
      <c r="A25" s="64" t="s">
        <v>95</v>
      </c>
      <c r="B25" s="64" t="s">
        <v>35</v>
      </c>
      <c r="C25" s="65">
        <v>52344.366000000002</v>
      </c>
      <c r="D25" s="10"/>
      <c r="E25" s="41">
        <f>+(C25-C$7)/C$8</f>
        <v>-294.99415743724774</v>
      </c>
      <c r="F25">
        <f>ROUND(2*E25,0)/2</f>
        <v>-295</v>
      </c>
      <c r="G25">
        <f>+C25-(C$7+F25*C$8)</f>
        <v>3.0898500044713728E-3</v>
      </c>
      <c r="K25">
        <f>+G25</f>
        <v>3.0898500044713728E-3</v>
      </c>
      <c r="Q25" s="2">
        <f>+C25-15018.5</f>
        <v>37325.866000000002</v>
      </c>
    </row>
    <row r="26" spans="1:21" x14ac:dyDescent="0.2">
      <c r="A26" s="31" t="s">
        <v>36</v>
      </c>
      <c r="B26" s="30" t="s">
        <v>35</v>
      </c>
      <c r="C26" s="31">
        <v>52500.374199999998</v>
      </c>
      <c r="D26" s="28"/>
      <c r="E26">
        <f>+(C26-C$7)/C$8</f>
        <v>0</v>
      </c>
      <c r="F26">
        <f>ROUND(2*E26,0)/2</f>
        <v>0</v>
      </c>
      <c r="G26">
        <f>+C26-(C$7+F26*C$8)</f>
        <v>0</v>
      </c>
      <c r="Q26" s="2">
        <f>+C26-15018.5</f>
        <v>37481.874199999998</v>
      </c>
      <c r="U26" s="44"/>
    </row>
    <row r="27" spans="1:21" x14ac:dyDescent="0.2">
      <c r="A27" s="34" t="s">
        <v>40</v>
      </c>
      <c r="B27" s="33" t="s">
        <v>35</v>
      </c>
      <c r="C27" s="34">
        <v>52658.497000000003</v>
      </c>
      <c r="D27" s="34">
        <v>2E-3</v>
      </c>
      <c r="E27">
        <f>+(C27-C$7)/C$8</f>
        <v>298.99263088492035</v>
      </c>
      <c r="F27">
        <f>ROUND(2*E27,0)/2</f>
        <v>299</v>
      </c>
      <c r="Q27" s="2">
        <f>+C27-15018.5</f>
        <v>37639.997000000003</v>
      </c>
      <c r="U27" s="44">
        <v>-3.8971699977992103E-3</v>
      </c>
    </row>
    <row r="28" spans="1:21" x14ac:dyDescent="0.2">
      <c r="A28" s="34" t="s">
        <v>41</v>
      </c>
      <c r="B28" s="35"/>
      <c r="C28" s="34">
        <v>53794.4755</v>
      </c>
      <c r="D28" s="34">
        <v>2.9999999999999997E-4</v>
      </c>
      <c r="E28">
        <f>+(C28-C$7)/C$8</f>
        <v>2447.0016488361248</v>
      </c>
      <c r="F28">
        <f>ROUND(2*E28,0)/2</f>
        <v>2447</v>
      </c>
      <c r="G28">
        <f>+C28-(C$7+F28*C$8)</f>
        <v>8.7198999972315505E-4</v>
      </c>
      <c r="J28">
        <f>+G28</f>
        <v>8.7198999972315505E-4</v>
      </c>
      <c r="Q28" s="2">
        <f>+C28-15018.5</f>
        <v>38775.9755</v>
      </c>
      <c r="U28" s="44"/>
    </row>
    <row r="29" spans="1:21" x14ac:dyDescent="0.2">
      <c r="A29" s="34" t="s">
        <v>42</v>
      </c>
      <c r="B29" s="33" t="s">
        <v>35</v>
      </c>
      <c r="C29" s="34">
        <v>54223.373599999999</v>
      </c>
      <c r="D29" s="34">
        <v>2.9999999999999997E-4</v>
      </c>
      <c r="E29">
        <f>+(C29-C$7)/C$8</f>
        <v>3258.0002606779303</v>
      </c>
      <c r="F29">
        <f>ROUND(2*E29,0)/2</f>
        <v>3258</v>
      </c>
      <c r="G29">
        <f>+C29-(C$7+F29*C$8)</f>
        <v>1.3785999908577651E-4</v>
      </c>
      <c r="J29">
        <f>+G29</f>
        <v>1.3785999908577651E-4</v>
      </c>
      <c r="Q29" s="2">
        <f>+C29-15018.5</f>
        <v>39204.873599999999</v>
      </c>
      <c r="U29" s="44"/>
    </row>
    <row r="30" spans="1:21" x14ac:dyDescent="0.2">
      <c r="A30" s="36" t="s">
        <v>52</v>
      </c>
      <c r="B30" s="37" t="s">
        <v>45</v>
      </c>
      <c r="C30" s="36">
        <v>54571.36015</v>
      </c>
      <c r="D30" s="36">
        <v>5.0000000000000001E-4</v>
      </c>
      <c r="E30">
        <f>+(C30-C$7)/C$8</f>
        <v>3916.0041291716848</v>
      </c>
      <c r="F30">
        <f>ROUND(2*E30,0)/2</f>
        <v>3916</v>
      </c>
      <c r="G30">
        <f>+C30-(C$7+F30*C$8)</f>
        <v>2.1837200038135052E-3</v>
      </c>
      <c r="K30">
        <f>+G30</f>
        <v>2.1837200038135052E-3</v>
      </c>
      <c r="Q30" s="2">
        <f>+C30-15018.5</f>
        <v>39552.86015</v>
      </c>
      <c r="U30" s="44"/>
    </row>
    <row r="31" spans="1:21" x14ac:dyDescent="0.2">
      <c r="A31" s="36" t="s">
        <v>52</v>
      </c>
      <c r="B31" s="37" t="s">
        <v>35</v>
      </c>
      <c r="C31" s="36">
        <v>54585.374409999997</v>
      </c>
      <c r="D31" s="36">
        <v>4.0000000000000002E-4</v>
      </c>
      <c r="E31">
        <f>+(C31-C$7)/C$8</f>
        <v>3942.5035363874949</v>
      </c>
      <c r="F31">
        <f>ROUND(2*E31,0)/2</f>
        <v>3942.5</v>
      </c>
      <c r="G31">
        <f>+C31-(C$7+F31*C$8)</f>
        <v>1.8702250017668121E-3</v>
      </c>
      <c r="K31">
        <f>+G31</f>
        <v>1.8702250017668121E-3</v>
      </c>
      <c r="Q31" s="2">
        <f>+C31-15018.5</f>
        <v>39566.874409999997</v>
      </c>
      <c r="U31" s="44"/>
    </row>
    <row r="32" spans="1:21" x14ac:dyDescent="0.2">
      <c r="A32" s="36" t="s">
        <v>50</v>
      </c>
      <c r="B32" s="37" t="s">
        <v>35</v>
      </c>
      <c r="C32" s="36">
        <v>54586.431700000001</v>
      </c>
      <c r="D32" s="36">
        <v>1E-4</v>
      </c>
      <c r="E32">
        <f>+(C32-C$7)/C$8</f>
        <v>3944.5027542024436</v>
      </c>
      <c r="F32">
        <f>ROUND(2*E32,0)/2</f>
        <v>3944.5</v>
      </c>
      <c r="G32">
        <f>+C32-(C$7+F32*C$8)</f>
        <v>1.4565650053555146E-3</v>
      </c>
      <c r="J32">
        <f>+G32</f>
        <v>1.4565650053555146E-3</v>
      </c>
      <c r="Q32" s="2">
        <f>+C32-15018.5</f>
        <v>39567.931700000001</v>
      </c>
      <c r="U32" s="44"/>
    </row>
    <row r="33" spans="1:21" x14ac:dyDescent="0.2">
      <c r="A33" s="38" t="s">
        <v>44</v>
      </c>
      <c r="B33" s="30" t="s">
        <v>35</v>
      </c>
      <c r="C33" s="31">
        <v>54829.701540000002</v>
      </c>
      <c r="D33" s="31">
        <v>2.0000000000000001E-4</v>
      </c>
      <c r="E33">
        <f>+(C33-C$7)/C$8</f>
        <v>4404.4989690212542</v>
      </c>
      <c r="F33">
        <f>ROUND(2*E33,0)/2</f>
        <v>4404.5</v>
      </c>
      <c r="G33">
        <f>+C33-(C$7+F33*C$8)</f>
        <v>-5.4523499420611188E-4</v>
      </c>
      <c r="K33">
        <f>+G33</f>
        <v>-5.4523499420611188E-4</v>
      </c>
      <c r="Q33" s="2">
        <f>+C33-15018.5</f>
        <v>39811.201540000002</v>
      </c>
      <c r="U33" s="44"/>
    </row>
    <row r="34" spans="1:21" x14ac:dyDescent="0.2">
      <c r="A34" s="38" t="s">
        <v>44</v>
      </c>
      <c r="B34" s="30" t="s">
        <v>45</v>
      </c>
      <c r="C34" s="31">
        <v>54831.553099999997</v>
      </c>
      <c r="D34" s="31">
        <v>2.9999999999999997E-4</v>
      </c>
      <c r="E34">
        <f>+(C34-C$7)/C$8</f>
        <v>4408.0000630800478</v>
      </c>
      <c r="F34">
        <f>ROUND(2*E34,0)/2</f>
        <v>4408</v>
      </c>
      <c r="G34">
        <f>+C34-(C$7+F34*C$8)</f>
        <v>3.3359996450599283E-5</v>
      </c>
      <c r="K34">
        <f>+G34</f>
        <v>3.3359996450599283E-5</v>
      </c>
      <c r="Q34" s="2">
        <f>+C34-15018.5</f>
        <v>39813.053099999997</v>
      </c>
      <c r="U34" s="44"/>
    </row>
    <row r="35" spans="1:21" x14ac:dyDescent="0.2">
      <c r="A35" s="31" t="s">
        <v>43</v>
      </c>
      <c r="B35" s="39"/>
      <c r="C35" s="31">
        <v>54863.811699999998</v>
      </c>
      <c r="D35" s="31">
        <v>5.9999999999999995E-4</v>
      </c>
      <c r="E35">
        <f>+(C35-C$7)/C$8</f>
        <v>4468.9974883891391</v>
      </c>
      <c r="F35">
        <f>ROUND(2*E35,0)/2</f>
        <v>4469</v>
      </c>
      <c r="G35">
        <f>+C35-(C$7+F35*C$8)</f>
        <v>-1.3282700019772165E-3</v>
      </c>
      <c r="K35">
        <f>+G35</f>
        <v>-1.3282700019772165E-3</v>
      </c>
      <c r="Q35" s="2">
        <f>+C35-15018.5</f>
        <v>39845.311699999998</v>
      </c>
      <c r="U35" s="44"/>
    </row>
    <row r="36" spans="1:21" x14ac:dyDescent="0.2">
      <c r="A36" s="38" t="s">
        <v>44</v>
      </c>
      <c r="B36" s="30" t="s">
        <v>45</v>
      </c>
      <c r="C36" s="31">
        <v>54893.430209999999</v>
      </c>
      <c r="D36" s="31">
        <v>1.1000000000000001E-3</v>
      </c>
      <c r="E36">
        <f>+(C36-C$7)/C$8</f>
        <v>4525.0027970972515</v>
      </c>
      <c r="F36">
        <f>ROUND(2*E36,0)/2</f>
        <v>4525</v>
      </c>
      <c r="G36">
        <f>+C36-(C$7+F36*C$8)</f>
        <v>1.4792500005569309E-3</v>
      </c>
      <c r="K36">
        <f>+G36</f>
        <v>1.4792500005569309E-3</v>
      </c>
      <c r="Q36" s="2">
        <f>+C36-15018.5</f>
        <v>39874.930209999999</v>
      </c>
      <c r="U36" s="44"/>
    </row>
    <row r="37" spans="1:21" x14ac:dyDescent="0.2">
      <c r="A37" s="36" t="s">
        <v>50</v>
      </c>
      <c r="B37" s="37" t="s">
        <v>35</v>
      </c>
      <c r="C37" s="36">
        <v>54925.424500000001</v>
      </c>
      <c r="D37" s="36">
        <v>1.2999999999999999E-3</v>
      </c>
      <c r="E37">
        <f>+(C37-C$7)/C$8</f>
        <v>4585.5004415887197</v>
      </c>
      <c r="F37">
        <f>ROUND(2*E37,0)/2</f>
        <v>4585.5</v>
      </c>
      <c r="G37">
        <f>+C37-(C$7+F37*C$8)</f>
        <v>2.3353500000666827E-4</v>
      </c>
      <c r="J37">
        <f>+G37</f>
        <v>2.3353500000666827E-4</v>
      </c>
      <c r="Q37" s="2">
        <f>+C37-15018.5</f>
        <v>39906.924500000001</v>
      </c>
      <c r="U37" s="44"/>
    </row>
    <row r="38" spans="1:21" x14ac:dyDescent="0.2">
      <c r="A38" s="38" t="s">
        <v>44</v>
      </c>
      <c r="B38" s="30" t="s">
        <v>35</v>
      </c>
      <c r="C38" s="31">
        <v>54926.482100000001</v>
      </c>
      <c r="D38" s="31">
        <v>1E-4</v>
      </c>
      <c r="E38">
        <f>+(C38-C$7)/C$8</f>
        <v>4587.5002455791873</v>
      </c>
      <c r="F38">
        <f>ROUND(2*E38,0)/2</f>
        <v>4587.5</v>
      </c>
      <c r="G38">
        <f>+C38-(C$7+F38*C$8)</f>
        <v>1.2987499940209091E-4</v>
      </c>
      <c r="K38">
        <f>+G38</f>
        <v>1.2987499940209091E-4</v>
      </c>
      <c r="Q38" s="2">
        <f>+C38-15018.5</f>
        <v>39907.982100000001</v>
      </c>
      <c r="U38" s="44"/>
    </row>
    <row r="39" spans="1:21" x14ac:dyDescent="0.2">
      <c r="A39" s="40" t="s">
        <v>46</v>
      </c>
      <c r="B39" s="41"/>
      <c r="C39" s="31">
        <v>55188.792800000003</v>
      </c>
      <c r="D39" s="31">
        <v>2.0000000000000001E-4</v>
      </c>
      <c r="E39">
        <f>+(C39-C$7)/C$8</f>
        <v>5083.500609234924</v>
      </c>
      <c r="F39">
        <f>ROUND(2*E39,0)/2</f>
        <v>5083.5</v>
      </c>
      <c r="G39">
        <f>+C39-(C$7+F39*C$8)</f>
        <v>3.2219500280916691E-4</v>
      </c>
      <c r="K39">
        <f>+G39</f>
        <v>3.2219500280916691E-4</v>
      </c>
      <c r="Q39" s="2">
        <f>+C39-15018.5</f>
        <v>40170.292800000003</v>
      </c>
      <c r="U39" s="44"/>
    </row>
    <row r="40" spans="1:21" x14ac:dyDescent="0.2">
      <c r="A40" s="45" t="s">
        <v>47</v>
      </c>
      <c r="B40" s="46" t="s">
        <v>35</v>
      </c>
      <c r="C40" s="45">
        <v>55298.792600000001</v>
      </c>
      <c r="D40" s="45">
        <v>2.0000000000000001E-4</v>
      </c>
      <c r="E40">
        <f>+(C40-C$7)/C$8</f>
        <v>5291.4979985982127</v>
      </c>
      <c r="F40">
        <f>ROUND(2*E40,0)/2</f>
        <v>5291.5</v>
      </c>
      <c r="G40">
        <f>+C40-(C$7+F40*C$8)</f>
        <v>-1.0584449992165901E-3</v>
      </c>
      <c r="K40">
        <f>+G40</f>
        <v>-1.0584449992165901E-3</v>
      </c>
      <c r="Q40" s="2">
        <f>+C40-15018.5</f>
        <v>40280.292600000001</v>
      </c>
      <c r="U40" s="44"/>
    </row>
    <row r="41" spans="1:21" x14ac:dyDescent="0.2">
      <c r="A41" s="45" t="s">
        <v>51</v>
      </c>
      <c r="B41" s="46" t="s">
        <v>45</v>
      </c>
      <c r="C41" s="45">
        <v>55579.877399999998</v>
      </c>
      <c r="D41" s="45">
        <v>8.0000000000000004E-4</v>
      </c>
      <c r="E41" s="41">
        <f>+(C41-C$7)/C$8</f>
        <v>5822.9980975956896</v>
      </c>
      <c r="F41">
        <f>ROUND(2*E41,0)/2</f>
        <v>5823</v>
      </c>
      <c r="G41">
        <f>+C41-(C$7+F41*C$8)</f>
        <v>-1.00609000219265E-3</v>
      </c>
      <c r="K41">
        <f>+G41</f>
        <v>-1.00609000219265E-3</v>
      </c>
      <c r="Q41" s="2">
        <f>+C41-15018.5</f>
        <v>40561.377399999998</v>
      </c>
      <c r="U41" s="44"/>
    </row>
    <row r="42" spans="1:21" x14ac:dyDescent="0.2">
      <c r="A42" s="45" t="s">
        <v>51</v>
      </c>
      <c r="B42" s="46" t="s">
        <v>35</v>
      </c>
      <c r="C42" s="45">
        <v>55644.662600000003</v>
      </c>
      <c r="D42" s="45">
        <v>4.0000000000000002E-4</v>
      </c>
      <c r="E42" s="41">
        <f>+(C42-C$7)/C$8</f>
        <v>5945.4997064111603</v>
      </c>
      <c r="F42">
        <f>ROUND(2*E42,0)/2</f>
        <v>5945.5</v>
      </c>
      <c r="G42">
        <f>+C42-(C$7+F42*C$8)</f>
        <v>-1.5526499191764742E-4</v>
      </c>
      <c r="K42">
        <f>+G42</f>
        <v>-1.5526499191764742E-4</v>
      </c>
      <c r="O42">
        <f ca="1">+C$11+C$12*$F42</f>
        <v>-3.2358624998537252E-4</v>
      </c>
      <c r="Q42" s="2">
        <f>+C42-15018.5</f>
        <v>40626.162600000003</v>
      </c>
      <c r="U42" s="44"/>
    </row>
    <row r="43" spans="1:21" x14ac:dyDescent="0.2">
      <c r="A43" s="48" t="s">
        <v>53</v>
      </c>
      <c r="B43" s="49" t="s">
        <v>35</v>
      </c>
      <c r="C43" s="48">
        <v>55963.823499999999</v>
      </c>
      <c r="D43" s="48">
        <v>2.3999999999999998E-3</v>
      </c>
      <c r="E43" s="41">
        <f>+(C43-C$7)/C$8</f>
        <v>6548.9974762874508</v>
      </c>
      <c r="F43">
        <f>ROUND(2*E43,0)/2</f>
        <v>6549</v>
      </c>
      <c r="G43">
        <f>+C43-(C$7+F43*C$8)</f>
        <v>-1.3346699997782707E-3</v>
      </c>
      <c r="K43">
        <f>+G43</f>
        <v>-1.3346699997782707E-3</v>
      </c>
      <c r="O43">
        <f ca="1">+C$11+C$12*$F43</f>
        <v>4.168173894635533E-4</v>
      </c>
      <c r="Q43" s="2">
        <f>+C43-15018.5</f>
        <v>40945.323499999999</v>
      </c>
      <c r="U43" s="44"/>
    </row>
    <row r="44" spans="1:21" x14ac:dyDescent="0.2">
      <c r="A44" s="5" t="s">
        <v>56</v>
      </c>
      <c r="B44" s="47"/>
      <c r="C44" s="48">
        <v>56012.744299999998</v>
      </c>
      <c r="D44" s="48">
        <v>2.9999999999999997E-4</v>
      </c>
      <c r="E44" s="41">
        <f>+(C44-C$7)/C$8</f>
        <v>6641.5012688903807</v>
      </c>
      <c r="F44">
        <f>ROUND(2*E44,0)/2</f>
        <v>6641.5</v>
      </c>
      <c r="G44">
        <f>+C44-(C$7+F44*C$8)</f>
        <v>6.7105500056641176E-4</v>
      </c>
      <c r="K44">
        <f>+G44</f>
        <v>6.7105500056641176E-4</v>
      </c>
      <c r="O44">
        <f ca="1">+C$11+C$12*$F44</f>
        <v>5.3030096303277596E-4</v>
      </c>
      <c r="Q44" s="2">
        <f>+C44-15018.5</f>
        <v>40994.244299999998</v>
      </c>
      <c r="U44" s="44"/>
    </row>
    <row r="45" spans="1:21" x14ac:dyDescent="0.2">
      <c r="A45" s="48" t="s">
        <v>53</v>
      </c>
      <c r="B45" s="49" t="s">
        <v>45</v>
      </c>
      <c r="C45" s="48">
        <v>56029.6708</v>
      </c>
      <c r="D45" s="48">
        <v>5.9999999999999995E-4</v>
      </c>
      <c r="E45" s="41">
        <f>+(C45-C$7)/C$8</f>
        <v>6673.5073980929619</v>
      </c>
      <c r="F45">
        <f>ROUND(2*E45,0)/2</f>
        <v>6673.5</v>
      </c>
      <c r="O45">
        <f ca="1">+C$11+C$12*$F45</f>
        <v>5.6956014524050733E-4</v>
      </c>
      <c r="Q45" s="2">
        <f>+C45-15018.5</f>
        <v>41011.1708</v>
      </c>
      <c r="U45" s="44">
        <f>+C45-(C$7+F45*C$8)</f>
        <v>3.9124949980759993E-3</v>
      </c>
    </row>
    <row r="46" spans="1:21" x14ac:dyDescent="0.2">
      <c r="A46" s="50" t="s">
        <v>55</v>
      </c>
      <c r="B46" s="49" t="s">
        <v>35</v>
      </c>
      <c r="C46" s="48">
        <v>56312.869500000001</v>
      </c>
      <c r="D46" s="48">
        <v>4.0000000000000002E-4</v>
      </c>
      <c r="E46" s="41">
        <f>+(C46-C$7)/C$8</f>
        <v>7209.0046469159461</v>
      </c>
      <c r="F46">
        <f>ROUND(2*E46,0)/2</f>
        <v>7209</v>
      </c>
      <c r="G46">
        <f>+C46-(C$7+F46*C$8)</f>
        <v>2.4575300049036741E-3</v>
      </c>
      <c r="K46">
        <f>+G46</f>
        <v>2.4575300049036741E-3</v>
      </c>
      <c r="O46">
        <f ca="1">+C$11+C$12*$F46</f>
        <v>1.2265380224980044E-3</v>
      </c>
      <c r="Q46" s="2">
        <f>+C46-15018.5</f>
        <v>41294.369500000001</v>
      </c>
      <c r="U46" s="44"/>
    </row>
    <row r="47" spans="1:21" x14ac:dyDescent="0.2">
      <c r="A47" s="66" t="s">
        <v>57</v>
      </c>
      <c r="B47" s="35" t="s">
        <v>58</v>
      </c>
      <c r="C47" s="67">
        <v>56342.483899999999</v>
      </c>
      <c r="D47" s="67">
        <v>6.9999999999999999E-4</v>
      </c>
      <c r="E47" s="41">
        <f>+(C47-C$7)/C$8</f>
        <v>7265.0021840711051</v>
      </c>
      <c r="F47">
        <f>ROUND(2*E47,0)/2</f>
        <v>7265</v>
      </c>
      <c r="G47">
        <f>+C47-(C$7+F47*C$8)</f>
        <v>1.1550499984878115E-3</v>
      </c>
      <c r="K47">
        <f>+G47</f>
        <v>1.1550499984878115E-3</v>
      </c>
      <c r="O47">
        <f ca="1">+C$11+C$12*$F47</f>
        <v>1.2952415913615335E-3</v>
      </c>
      <c r="Q47" s="2">
        <f>+C47-15018.5</f>
        <v>41323.983899999999</v>
      </c>
      <c r="U47" s="44"/>
    </row>
    <row r="48" spans="1:21" x14ac:dyDescent="0.2">
      <c r="A48" s="66" t="s">
        <v>59</v>
      </c>
      <c r="B48" s="35" t="s">
        <v>35</v>
      </c>
      <c r="C48" s="34">
        <v>56384.527600000001</v>
      </c>
      <c r="D48" s="67">
        <v>2.0000000000000001E-4</v>
      </c>
      <c r="E48" s="41">
        <f>+(C48-C$7)/C$8</f>
        <v>7344.5021453362515</v>
      </c>
      <c r="F48">
        <f>ROUND(2*E48,0)/2</f>
        <v>7344.5</v>
      </c>
      <c r="G48">
        <f>+C48-(C$7+F48*C$8)</f>
        <v>1.1345650054863654E-3</v>
      </c>
      <c r="J48">
        <f>+G48</f>
        <v>1.1345650054863654E-3</v>
      </c>
      <c r="O48">
        <f ca="1">+C$11+C$12*$F48</f>
        <v>1.3927761221588647E-3</v>
      </c>
      <c r="Q48" s="2">
        <f>+C48-15018.5</f>
        <v>41366.027600000001</v>
      </c>
      <c r="U48" s="42"/>
    </row>
    <row r="49" spans="1:21" x14ac:dyDescent="0.2">
      <c r="A49" s="76" t="s">
        <v>0</v>
      </c>
      <c r="B49" s="77" t="s">
        <v>45</v>
      </c>
      <c r="C49" s="76">
        <v>57070.714399999997</v>
      </c>
      <c r="D49" s="76">
        <v>1E-3</v>
      </c>
      <c r="E49" s="41">
        <f>+(C49-C$7)/C$8</f>
        <v>8642.005077301139</v>
      </c>
      <c r="F49">
        <f>ROUND(2*E49,0)/2</f>
        <v>8642</v>
      </c>
      <c r="G49">
        <f>+C49-(C$7+F49*C$8)</f>
        <v>2.6851399961742572E-3</v>
      </c>
      <c r="K49">
        <f>+G49</f>
        <v>2.6851399961742572E-3</v>
      </c>
      <c r="O49">
        <f ca="1">+C$11+C$12*$F49</f>
        <v>2.9846132757379573E-3</v>
      </c>
      <c r="Q49" s="2">
        <f>+C49-15018.5</f>
        <v>42052.214399999997</v>
      </c>
    </row>
    <row r="50" spans="1:21" x14ac:dyDescent="0.2">
      <c r="A50" s="76" t="s">
        <v>0</v>
      </c>
      <c r="B50" s="77" t="s">
        <v>35</v>
      </c>
      <c r="C50" s="76">
        <v>57070.978799999997</v>
      </c>
      <c r="D50" s="76">
        <v>1E-4</v>
      </c>
      <c r="E50" s="41">
        <f>+(C50-C$7)/C$8</f>
        <v>8642.5050282987559</v>
      </c>
      <c r="F50">
        <f>ROUND(2*E50,0)/2</f>
        <v>8642.5</v>
      </c>
      <c r="G50">
        <f>+C50-(C$7+F50*C$8)</f>
        <v>2.6592249996610917E-3</v>
      </c>
      <c r="K50">
        <f>+G50</f>
        <v>2.6592249996610917E-3</v>
      </c>
      <c r="O50">
        <f ca="1">+C$11+C$12*$F50</f>
        <v>2.9852267004599527E-3</v>
      </c>
      <c r="Q50" s="2">
        <f>+C50-15018.5</f>
        <v>42052.478799999997</v>
      </c>
    </row>
    <row r="51" spans="1:21" x14ac:dyDescent="0.2">
      <c r="A51" s="34" t="s">
        <v>208</v>
      </c>
      <c r="B51" s="33"/>
      <c r="C51" s="34">
        <v>57080.498699999996</v>
      </c>
      <c r="D51" s="34">
        <v>1.1999999999999999E-3</v>
      </c>
      <c r="E51" s="41">
        <f>+(C51-C$7)/C$8</f>
        <v>8660.5061005461539</v>
      </c>
      <c r="F51">
        <f>ROUND(2*E51,0)/2</f>
        <v>8660.5</v>
      </c>
      <c r="G51">
        <f>+C51-(C$7+F51*C$8)</f>
        <v>3.2262849999824539E-3</v>
      </c>
      <c r="J51">
        <f>+G51</f>
        <v>3.2262849999824539E-3</v>
      </c>
      <c r="O51">
        <f ca="1">+C$11+C$12*$F51</f>
        <v>3.0073099904518018E-3</v>
      </c>
      <c r="Q51" s="2">
        <f>+C51-15018.5</f>
        <v>42061.998699999996</v>
      </c>
    </row>
    <row r="52" spans="1:21" x14ac:dyDescent="0.2">
      <c r="A52" s="68" t="s">
        <v>210</v>
      </c>
      <c r="B52" s="69" t="s">
        <v>35</v>
      </c>
      <c r="C52" s="70">
        <v>57095.310920000004</v>
      </c>
      <c r="D52" s="70">
        <v>5.0000000000000001E-4</v>
      </c>
      <c r="E52" s="41">
        <f>+(C52-C$7)/C$8</f>
        <v>8688.5143613855034</v>
      </c>
      <c r="F52">
        <f>ROUND(2*E52,0)/2</f>
        <v>8688.5</v>
      </c>
      <c r="O52">
        <f ca="1">+C$11+C$12*$F52</f>
        <v>3.0416617748835664E-3</v>
      </c>
      <c r="Q52" s="2">
        <f>+C52-15018.5</f>
        <v>42076.810920000004</v>
      </c>
      <c r="U52" s="42">
        <f>+C52-(C$7+F52*C$8)</f>
        <v>7.5950450045638718E-3</v>
      </c>
    </row>
    <row r="53" spans="1:21" x14ac:dyDescent="0.2">
      <c r="A53" s="71" t="s">
        <v>209</v>
      </c>
      <c r="B53" s="72" t="s">
        <v>35</v>
      </c>
      <c r="C53" s="73">
        <v>57409.446100000001</v>
      </c>
      <c r="D53" s="73">
        <v>1.5E-3</v>
      </c>
      <c r="E53" s="41">
        <f>+(C53-C$7)/C$8</f>
        <v>9282.5090536228308</v>
      </c>
      <c r="F53">
        <f>ROUND(2*E53,0)/2</f>
        <v>9282.5</v>
      </c>
      <c r="G53">
        <f>+C53-(C$7+F53*C$8)</f>
        <v>4.7880250058369711E-3</v>
      </c>
      <c r="K53">
        <f>+G53</f>
        <v>4.7880250058369711E-3</v>
      </c>
      <c r="O53">
        <f ca="1">+C$11+C$12*$F53</f>
        <v>3.7704103446145713E-3</v>
      </c>
      <c r="Q53" s="2">
        <f>+C53-15018.5</f>
        <v>42390.946100000001</v>
      </c>
    </row>
    <row r="54" spans="1:21" x14ac:dyDescent="0.2">
      <c r="A54" s="68" t="s">
        <v>210</v>
      </c>
      <c r="B54" s="69" t="s">
        <v>45</v>
      </c>
      <c r="C54" s="70">
        <v>57413.412940000002</v>
      </c>
      <c r="D54" s="70">
        <v>4.0000000000000002E-4</v>
      </c>
      <c r="E54" s="41">
        <f>+(C54-C$7)/C$8</f>
        <v>9290.0099069336738</v>
      </c>
      <c r="F54">
        <f>ROUND(2*E54,0)/2</f>
        <v>9290</v>
      </c>
      <c r="G54">
        <f>+C54-(C$7+F54*C$8)</f>
        <v>5.2393000005395152E-3</v>
      </c>
      <c r="K54">
        <f>+G54</f>
        <v>5.2393000005395152E-3</v>
      </c>
      <c r="O54">
        <f ca="1">+C$11+C$12*$F54</f>
        <v>3.7796117154445079E-3</v>
      </c>
      <c r="Q54" s="2">
        <f>+C54-15018.5</f>
        <v>42394.912940000002</v>
      </c>
    </row>
    <row r="55" spans="1:21" x14ac:dyDescent="0.2">
      <c r="A55" s="78" t="s">
        <v>1</v>
      </c>
      <c r="B55" s="79" t="s">
        <v>45</v>
      </c>
      <c r="C55" s="78">
        <v>57414.204299999998</v>
      </c>
      <c r="D55" s="78" t="s">
        <v>69</v>
      </c>
      <c r="E55" s="41">
        <f>+(C55-C$7)/C$8</f>
        <v>9291.5062806911319</v>
      </c>
      <c r="F55">
        <f>ROUND(2*E55,0)/2</f>
        <v>9291.5</v>
      </c>
      <c r="G55">
        <f>+C55-(C$7+F55*C$8)</f>
        <v>3.3215549992746674E-3</v>
      </c>
      <c r="K55">
        <f>+G55</f>
        <v>3.3215549992746674E-3</v>
      </c>
      <c r="O55">
        <f ca="1">+C$11+C$12*$F55</f>
        <v>3.7814519896104959E-3</v>
      </c>
      <c r="Q55" s="2">
        <f>+C55-15018.5</f>
        <v>42395.704299999998</v>
      </c>
    </row>
    <row r="56" spans="1:21" x14ac:dyDescent="0.2">
      <c r="A56" s="74" t="s">
        <v>211</v>
      </c>
      <c r="B56" s="41" t="s">
        <v>45</v>
      </c>
      <c r="C56" s="34">
        <v>58158.829599999997</v>
      </c>
      <c r="D56" s="34">
        <v>4.0000000000000002E-4</v>
      </c>
      <c r="E56" s="41">
        <f>+(C56-C$7)/C$8</f>
        <v>10699.509917551006</v>
      </c>
      <c r="F56">
        <f>ROUND(2*E56,0)/2</f>
        <v>10699.5</v>
      </c>
      <c r="G56">
        <f>+C56-(C$7+F56*C$8)</f>
        <v>5.2449149952735752E-3</v>
      </c>
      <c r="K56">
        <f>+G56</f>
        <v>5.2449149952735752E-3</v>
      </c>
      <c r="O56">
        <f ca="1">+C$11+C$12*$F56</f>
        <v>5.5088560067506585E-3</v>
      </c>
      <c r="Q56" s="2">
        <f>+C56-15018.5</f>
        <v>43140.329599999997</v>
      </c>
    </row>
    <row r="57" spans="1:21" x14ac:dyDescent="0.2">
      <c r="A57" s="74" t="s">
        <v>212</v>
      </c>
      <c r="B57" s="75"/>
      <c r="C57" s="34">
        <v>58563.666499999999</v>
      </c>
      <c r="D57" s="34">
        <v>2.0000000000000001E-4</v>
      </c>
      <c r="E57" s="41">
        <f>+(C57-C$7)/C$8</f>
        <v>11465.011475898647</v>
      </c>
      <c r="F57">
        <f>ROUND(2*E57,0)/2</f>
        <v>11465</v>
      </c>
      <c r="G57">
        <f>+C57-(C$7+F57*C$8)</f>
        <v>6.0690500031341799E-3</v>
      </c>
      <c r="K57">
        <f>+G57</f>
        <v>6.0690500031341799E-3</v>
      </c>
      <c r="O57">
        <f ca="1">+C$11+C$12*$F57</f>
        <v>6.448009256126222E-3</v>
      </c>
      <c r="Q57" s="2">
        <f>+C57-15018.5</f>
        <v>43545.166499999999</v>
      </c>
    </row>
    <row r="58" spans="1:21" x14ac:dyDescent="0.2">
      <c r="A58" s="74" t="s">
        <v>213</v>
      </c>
      <c r="C58" s="10">
        <v>59234.781499999997</v>
      </c>
      <c r="D58" s="10">
        <v>5.9999999999999995E-4</v>
      </c>
      <c r="E58" s="41">
        <f>+(C58-C$7)/C$8</f>
        <v>12734.015310110583</v>
      </c>
      <c r="F58">
        <f>ROUND(2*E58,0)/2</f>
        <v>12734</v>
      </c>
      <c r="G58">
        <f>+C58-(C$7+F58*C$8)</f>
        <v>8.0967800022335723E-3</v>
      </c>
      <c r="K58">
        <f>+G58</f>
        <v>8.0967800022335723E-3</v>
      </c>
      <c r="O58">
        <f ca="1">+C$11+C$12*$F58</f>
        <v>8.0048812005515529E-3</v>
      </c>
      <c r="Q58" s="2">
        <f>+C58-15018.5</f>
        <v>44216.281499999997</v>
      </c>
    </row>
    <row r="59" spans="1:21" x14ac:dyDescent="0.2">
      <c r="A59" s="80" t="s">
        <v>214</v>
      </c>
      <c r="B59" s="81" t="s">
        <v>35</v>
      </c>
      <c r="C59" s="82">
        <v>59259.371599999999</v>
      </c>
      <c r="D59" s="80">
        <v>1.9E-3</v>
      </c>
      <c r="E59" s="41">
        <f>+(C59-C$7)/C$8</f>
        <v>12780.512454688867</v>
      </c>
      <c r="F59">
        <f>ROUND(2*E59,0)/2</f>
        <v>12780.5</v>
      </c>
      <c r="G59">
        <f>+C59-(C$7+F59*C$8)</f>
        <v>6.5866849981830455E-3</v>
      </c>
      <c r="K59">
        <f>+G59</f>
        <v>6.5866849981830455E-3</v>
      </c>
      <c r="O59">
        <f ca="1">+C$11+C$12*$F59</f>
        <v>8.0619296996971603E-3</v>
      </c>
      <c r="Q59" s="2">
        <f>+C59-15018.5</f>
        <v>44240.871599999999</v>
      </c>
    </row>
    <row r="60" spans="1:21" x14ac:dyDescent="0.2">
      <c r="A60" s="80" t="s">
        <v>214</v>
      </c>
      <c r="B60" s="81" t="s">
        <v>35</v>
      </c>
      <c r="C60" s="82">
        <v>59259.635300000002</v>
      </c>
      <c r="D60" s="80">
        <v>8.0000000000000004E-4</v>
      </c>
      <c r="E60" s="41">
        <f>+(C60-C$7)/C$8</f>
        <v>12781.011082064333</v>
      </c>
      <c r="F60">
        <f>ROUND(2*E60,0)/2</f>
        <v>12781</v>
      </c>
      <c r="G60">
        <f>+C60-(C$7+F60*C$8)</f>
        <v>5.8607700048014522E-3</v>
      </c>
      <c r="K60">
        <f>+G60</f>
        <v>5.8607700048014522E-3</v>
      </c>
      <c r="O60">
        <f ca="1">+C$11+C$12*$F60</f>
        <v>8.0625431244191574E-3</v>
      </c>
      <c r="Q60" s="2">
        <f>+C60-15018.5</f>
        <v>44241.135300000002</v>
      </c>
    </row>
    <row r="61" spans="1:21" x14ac:dyDescent="0.2">
      <c r="A61" s="80" t="s">
        <v>214</v>
      </c>
      <c r="B61" s="81" t="s">
        <v>35</v>
      </c>
      <c r="C61" s="82">
        <v>59276.299599999998</v>
      </c>
      <c r="D61" s="80">
        <v>1.3100000000000001E-2</v>
      </c>
      <c r="E61" s="41">
        <f>+(C61-C$7)/C$8</f>
        <v>12812.521420224641</v>
      </c>
      <c r="F61">
        <f>ROUND(2*E61,0)/2</f>
        <v>12812.5</v>
      </c>
      <c r="G61">
        <f>+C61-(C$7+F61*C$8)</f>
        <v>1.1328125001455192E-2</v>
      </c>
      <c r="K61">
        <f>+G61</f>
        <v>1.1328125001455192E-2</v>
      </c>
      <c r="O61">
        <f ca="1">+C$11+C$12*$F61</f>
        <v>8.1011888819048916E-3</v>
      </c>
      <c r="Q61" s="2">
        <f>+C61-15018.5</f>
        <v>44257.799599999998</v>
      </c>
    </row>
    <row r="62" spans="1:21" x14ac:dyDescent="0.2">
      <c r="C62" s="10"/>
      <c r="D62" s="10"/>
    </row>
    <row r="63" spans="1:21" x14ac:dyDescent="0.2">
      <c r="C63" s="10"/>
      <c r="D63" s="10"/>
    </row>
    <row r="64" spans="1:21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</sheetData>
  <sortState xmlns:xlrd2="http://schemas.microsoft.com/office/spreadsheetml/2017/richdata2" ref="A21:AB61">
    <sortCondition ref="C21:C61"/>
  </sortState>
  <phoneticPr fontId="8" type="noConversion"/>
  <hyperlinks>
    <hyperlink ref="H62540" r:id="rId1" display="http://vsolj.cetus-net.org/bulletin.html"/>
    <hyperlink ref="H62533" r:id="rId2" display="https://www.aavso.org/ejaavso"/>
    <hyperlink ref="I62540" r:id="rId3" display="http://vsolj.cetus-net.org/bulletin.html"/>
    <hyperlink ref="AQ56183" r:id="rId4" display="http://cdsbib.u-strasbg.fr/cgi-bin/cdsbib?1990RMxAA..21..381G"/>
    <hyperlink ref="H62537" r:id="rId5" display="https://www.aavso.org/ejaavso"/>
    <hyperlink ref="AP3547" r:id="rId6" display="http://cdsbib.u-strasbg.fr/cgi-bin/cdsbib?1990RMxAA..21..381G"/>
    <hyperlink ref="AP3550" r:id="rId7" display="http://cdsbib.u-strasbg.fr/cgi-bin/cdsbib?1990RMxAA..21..381G"/>
    <hyperlink ref="AP3548" r:id="rId8" display="http://cdsbib.u-strasbg.fr/cgi-bin/cdsbib?1990RMxAA..21..381G"/>
    <hyperlink ref="AP3532" r:id="rId9" display="http://cdsbib.u-strasbg.fr/cgi-bin/cdsbib?1990RMxAA..21..381G"/>
    <hyperlink ref="AQ3761" r:id="rId10" display="http://cdsbib.u-strasbg.fr/cgi-bin/cdsbib?1990RMxAA..21..381G"/>
    <hyperlink ref="AQ3765" r:id="rId11" display="http://cdsbib.u-strasbg.fr/cgi-bin/cdsbib?1990RMxAA..21..381G"/>
    <hyperlink ref="AQ63453" r:id="rId12" display="http://cdsbib.u-strasbg.fr/cgi-bin/cdsbib?1990RMxAA..21..381G"/>
    <hyperlink ref="I653" r:id="rId13" display="http://vsolj.cetus-net.org/bulletin.html"/>
    <hyperlink ref="H653" r:id="rId14" display="http://vsolj.cetus-net.org/bulletin.html"/>
    <hyperlink ref="AQ64114" r:id="rId15" display="http://cdsbib.u-strasbg.fr/cgi-bin/cdsbib?1990RMxAA..21..381G"/>
    <hyperlink ref="AQ64113" r:id="rId16" display="http://cdsbib.u-strasbg.fr/cgi-bin/cdsbib?1990RMxAA..21..381G"/>
    <hyperlink ref="AP1823" r:id="rId17" display="http://cdsbib.u-strasbg.fr/cgi-bin/cdsbib?1990RMxAA..21..381G"/>
    <hyperlink ref="AP1841" r:id="rId18" display="http://cdsbib.u-strasbg.fr/cgi-bin/cdsbib?1990RMxAA..21..381G"/>
    <hyperlink ref="AP1842" r:id="rId19" display="http://cdsbib.u-strasbg.fr/cgi-bin/cdsbib?1990RMxAA..21..381G"/>
    <hyperlink ref="AP183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workbookViewId="0">
      <selection activeCell="A29" sqref="A29:C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1" t="s">
        <v>60</v>
      </c>
      <c r="I1" s="52" t="s">
        <v>61</v>
      </c>
      <c r="J1" s="53" t="s">
        <v>62</v>
      </c>
    </row>
    <row r="2" spans="1:16" x14ac:dyDescent="0.2">
      <c r="I2" s="54" t="s">
        <v>63</v>
      </c>
      <c r="J2" s="55" t="s">
        <v>64</v>
      </c>
    </row>
    <row r="3" spans="1:16" x14ac:dyDescent="0.2">
      <c r="A3" s="56" t="s">
        <v>65</v>
      </c>
      <c r="I3" s="54" t="s">
        <v>66</v>
      </c>
      <c r="J3" s="55" t="s">
        <v>67</v>
      </c>
    </row>
    <row r="4" spans="1:16" x14ac:dyDescent="0.2">
      <c r="I4" s="54" t="s">
        <v>68</v>
      </c>
      <c r="J4" s="55" t="s">
        <v>67</v>
      </c>
    </row>
    <row r="5" spans="1:16" ht="13.5" thickBot="1" x14ac:dyDescent="0.25">
      <c r="I5" s="57" t="s">
        <v>69</v>
      </c>
      <c r="J5" s="58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 BBS 129 </v>
      </c>
      <c r="B11" s="3" t="str">
        <f t="shared" ref="B11:B38" si="1">IF(H11=INT(H11),"I","II")</f>
        <v>I</v>
      </c>
      <c r="C11" s="10">
        <f t="shared" ref="C11:C38" si="2">1*G11</f>
        <v>52658.497000000003</v>
      </c>
      <c r="D11" s="12" t="str">
        <f t="shared" ref="D11:D38" si="3">VLOOKUP(F11,I$1:J$5,2,FALSE)</f>
        <v>vis</v>
      </c>
      <c r="E11" s="59">
        <f>VLOOKUP(C11,Active!C$21:E$966,3,FALSE)</f>
        <v>298.99263088492035</v>
      </c>
      <c r="F11" s="3" t="s">
        <v>69</v>
      </c>
      <c r="G11" s="12" t="str">
        <f t="shared" ref="G11:G38" si="4">MID(I11,3,LEN(I11)-3)</f>
        <v>52658.497</v>
      </c>
      <c r="H11" s="10">
        <f t="shared" ref="H11:H38" si="5">1*K11</f>
        <v>299</v>
      </c>
      <c r="I11" s="60" t="s">
        <v>96</v>
      </c>
      <c r="J11" s="61" t="s">
        <v>97</v>
      </c>
      <c r="K11" s="60">
        <v>299</v>
      </c>
      <c r="L11" s="60" t="s">
        <v>98</v>
      </c>
      <c r="M11" s="61" t="s">
        <v>74</v>
      </c>
      <c r="N11" s="61" t="s">
        <v>75</v>
      </c>
      <c r="O11" s="62" t="s">
        <v>90</v>
      </c>
      <c r="P11" s="62" t="s">
        <v>99</v>
      </c>
    </row>
    <row r="12" spans="1:16" ht="12.75" customHeight="1" thickBot="1" x14ac:dyDescent="0.25">
      <c r="A12" s="10" t="str">
        <f t="shared" si="0"/>
        <v>BAVM 178 </v>
      </c>
      <c r="B12" s="3" t="str">
        <f t="shared" si="1"/>
        <v>I</v>
      </c>
      <c r="C12" s="10">
        <f t="shared" si="2"/>
        <v>53794.4755</v>
      </c>
      <c r="D12" s="12" t="str">
        <f t="shared" si="3"/>
        <v>vis</v>
      </c>
      <c r="E12" s="59">
        <f>VLOOKUP(C12,Active!C$21:E$966,3,FALSE)</f>
        <v>2447.0016488361248</v>
      </c>
      <c r="F12" s="3" t="s">
        <v>69</v>
      </c>
      <c r="G12" s="12" t="str">
        <f t="shared" si="4"/>
        <v>53794.4755</v>
      </c>
      <c r="H12" s="10">
        <f t="shared" si="5"/>
        <v>2447</v>
      </c>
      <c r="I12" s="60" t="s">
        <v>100</v>
      </c>
      <c r="J12" s="61" t="s">
        <v>101</v>
      </c>
      <c r="K12" s="60">
        <v>2447</v>
      </c>
      <c r="L12" s="60" t="s">
        <v>102</v>
      </c>
      <c r="M12" s="61" t="s">
        <v>81</v>
      </c>
      <c r="N12" s="61" t="s">
        <v>103</v>
      </c>
      <c r="O12" s="62" t="s">
        <v>104</v>
      </c>
      <c r="P12" s="63" t="s">
        <v>105</v>
      </c>
    </row>
    <row r="13" spans="1:16" ht="12.75" customHeight="1" thickBot="1" x14ac:dyDescent="0.25">
      <c r="A13" s="10" t="str">
        <f t="shared" si="0"/>
        <v>BAVM 201 </v>
      </c>
      <c r="B13" s="3" t="str">
        <f t="shared" si="1"/>
        <v>I</v>
      </c>
      <c r="C13" s="10">
        <f t="shared" si="2"/>
        <v>54223.373599999999</v>
      </c>
      <c r="D13" s="12" t="str">
        <f t="shared" si="3"/>
        <v>vis</v>
      </c>
      <c r="E13" s="59">
        <f>VLOOKUP(C13,Active!C$21:E$966,3,FALSE)</f>
        <v>3258.0002606779303</v>
      </c>
      <c r="F13" s="3" t="s">
        <v>69</v>
      </c>
      <c r="G13" s="12" t="str">
        <f t="shared" si="4"/>
        <v>54223.3736</v>
      </c>
      <c r="H13" s="10">
        <f t="shared" si="5"/>
        <v>3258</v>
      </c>
      <c r="I13" s="60" t="s">
        <v>106</v>
      </c>
      <c r="J13" s="61" t="s">
        <v>107</v>
      </c>
      <c r="K13" s="60" t="s">
        <v>108</v>
      </c>
      <c r="L13" s="60" t="s">
        <v>109</v>
      </c>
      <c r="M13" s="61" t="s">
        <v>81</v>
      </c>
      <c r="N13" s="61" t="s">
        <v>103</v>
      </c>
      <c r="O13" s="62" t="s">
        <v>110</v>
      </c>
      <c r="P13" s="63" t="s">
        <v>111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54586.431700000001</v>
      </c>
      <c r="D14" s="12" t="str">
        <f t="shared" si="3"/>
        <v>vis</v>
      </c>
      <c r="E14" s="59">
        <f>VLOOKUP(C14,Active!C$21:E$966,3,FALSE)</f>
        <v>3944.5027542024436</v>
      </c>
      <c r="F14" s="3" t="s">
        <v>69</v>
      </c>
      <c r="G14" s="12" t="str">
        <f t="shared" si="4"/>
        <v>54586.4317</v>
      </c>
      <c r="H14" s="10">
        <f t="shared" si="5"/>
        <v>3944.5</v>
      </c>
      <c r="I14" s="60" t="s">
        <v>123</v>
      </c>
      <c r="J14" s="61" t="s">
        <v>124</v>
      </c>
      <c r="K14" s="60" t="s">
        <v>125</v>
      </c>
      <c r="L14" s="60" t="s">
        <v>126</v>
      </c>
      <c r="M14" s="61" t="s">
        <v>81</v>
      </c>
      <c r="N14" s="61" t="s">
        <v>103</v>
      </c>
      <c r="O14" s="62" t="s">
        <v>127</v>
      </c>
      <c r="P14" s="63" t="s">
        <v>128</v>
      </c>
    </row>
    <row r="15" spans="1:16" ht="12.75" customHeight="1" thickBot="1" x14ac:dyDescent="0.25">
      <c r="A15" s="10" t="str">
        <f t="shared" si="0"/>
        <v>OEJV 0107 </v>
      </c>
      <c r="B15" s="3" t="str">
        <f t="shared" si="1"/>
        <v>I</v>
      </c>
      <c r="C15" s="10">
        <f t="shared" si="2"/>
        <v>54831.553099999997</v>
      </c>
      <c r="D15" s="12" t="str">
        <f t="shared" si="3"/>
        <v>vis</v>
      </c>
      <c r="E15" s="59">
        <f>VLOOKUP(C15,Active!C$21:E$966,3,FALSE)</f>
        <v>4408.0000630800478</v>
      </c>
      <c r="F15" s="3" t="s">
        <v>69</v>
      </c>
      <c r="G15" s="12" t="str">
        <f t="shared" si="4"/>
        <v>54831.5531</v>
      </c>
      <c r="H15" s="10">
        <f t="shared" si="5"/>
        <v>4408</v>
      </c>
      <c r="I15" s="60" t="s">
        <v>134</v>
      </c>
      <c r="J15" s="61" t="s">
        <v>135</v>
      </c>
      <c r="K15" s="60" t="s">
        <v>136</v>
      </c>
      <c r="L15" s="60" t="s">
        <v>137</v>
      </c>
      <c r="M15" s="61" t="s">
        <v>81</v>
      </c>
      <c r="N15" s="61" t="s">
        <v>116</v>
      </c>
      <c r="O15" s="62" t="s">
        <v>117</v>
      </c>
      <c r="P15" s="63" t="s">
        <v>83</v>
      </c>
    </row>
    <row r="16" spans="1:16" ht="12.75" customHeight="1" thickBot="1" x14ac:dyDescent="0.25">
      <c r="A16" s="10" t="str">
        <f t="shared" si="0"/>
        <v>IBVS 5894 </v>
      </c>
      <c r="B16" s="3" t="str">
        <f t="shared" si="1"/>
        <v>I</v>
      </c>
      <c r="C16" s="10">
        <f t="shared" si="2"/>
        <v>54863.811699999998</v>
      </c>
      <c r="D16" s="12" t="str">
        <f t="shared" si="3"/>
        <v>vis</v>
      </c>
      <c r="E16" s="59">
        <f>VLOOKUP(C16,Active!C$21:E$966,3,FALSE)</f>
        <v>4468.9974883891391</v>
      </c>
      <c r="F16" s="3" t="s">
        <v>69</v>
      </c>
      <c r="G16" s="12" t="str">
        <f t="shared" si="4"/>
        <v>54863.8117</v>
      </c>
      <c r="H16" s="10">
        <f t="shared" si="5"/>
        <v>4469</v>
      </c>
      <c r="I16" s="60" t="s">
        <v>138</v>
      </c>
      <c r="J16" s="61" t="s">
        <v>139</v>
      </c>
      <c r="K16" s="60" t="s">
        <v>140</v>
      </c>
      <c r="L16" s="60" t="s">
        <v>141</v>
      </c>
      <c r="M16" s="61" t="s">
        <v>81</v>
      </c>
      <c r="N16" s="61" t="s">
        <v>69</v>
      </c>
      <c r="O16" s="62" t="s">
        <v>90</v>
      </c>
      <c r="P16" s="63" t="s">
        <v>142</v>
      </c>
    </row>
    <row r="17" spans="1:16" ht="12.75" customHeight="1" thickBot="1" x14ac:dyDescent="0.25">
      <c r="A17" s="10" t="str">
        <f t="shared" si="0"/>
        <v>BAVM 209 </v>
      </c>
      <c r="B17" s="3" t="str">
        <f t="shared" si="1"/>
        <v>II</v>
      </c>
      <c r="C17" s="10">
        <f t="shared" si="2"/>
        <v>54925.424500000001</v>
      </c>
      <c r="D17" s="12" t="str">
        <f t="shared" si="3"/>
        <v>vis</v>
      </c>
      <c r="E17" s="59">
        <f>VLOOKUP(C17,Active!C$21:E$966,3,FALSE)</f>
        <v>4585.5004415887197</v>
      </c>
      <c r="F17" s="3" t="s">
        <v>69</v>
      </c>
      <c r="G17" s="12" t="str">
        <f t="shared" si="4"/>
        <v>54925.4245</v>
      </c>
      <c r="H17" s="10">
        <f t="shared" si="5"/>
        <v>4585.5</v>
      </c>
      <c r="I17" s="60" t="s">
        <v>148</v>
      </c>
      <c r="J17" s="61" t="s">
        <v>149</v>
      </c>
      <c r="K17" s="60" t="s">
        <v>150</v>
      </c>
      <c r="L17" s="60" t="s">
        <v>151</v>
      </c>
      <c r="M17" s="61" t="s">
        <v>81</v>
      </c>
      <c r="N17" s="61" t="s">
        <v>152</v>
      </c>
      <c r="O17" s="62" t="s">
        <v>153</v>
      </c>
      <c r="P17" s="63" t="s">
        <v>128</v>
      </c>
    </row>
    <row r="18" spans="1:16" ht="12.75" customHeight="1" thickBot="1" x14ac:dyDescent="0.25">
      <c r="A18" s="10" t="str">
        <f t="shared" si="0"/>
        <v>OEJV 0107 </v>
      </c>
      <c r="B18" s="3" t="str">
        <f t="shared" si="1"/>
        <v>II</v>
      </c>
      <c r="C18" s="10">
        <f t="shared" si="2"/>
        <v>54926.482100000001</v>
      </c>
      <c r="D18" s="12" t="str">
        <f t="shared" si="3"/>
        <v>vis</v>
      </c>
      <c r="E18" s="59">
        <f>VLOOKUP(C18,Active!C$21:E$966,3,FALSE)</f>
        <v>4587.5002455791873</v>
      </c>
      <c r="F18" s="3" t="s">
        <v>69</v>
      </c>
      <c r="G18" s="12" t="str">
        <f t="shared" si="4"/>
        <v>54926.4821</v>
      </c>
      <c r="H18" s="10">
        <f t="shared" si="5"/>
        <v>4587.5</v>
      </c>
      <c r="I18" s="60" t="s">
        <v>154</v>
      </c>
      <c r="J18" s="61" t="s">
        <v>155</v>
      </c>
      <c r="K18" s="60" t="s">
        <v>156</v>
      </c>
      <c r="L18" s="60" t="s">
        <v>137</v>
      </c>
      <c r="M18" s="61" t="s">
        <v>81</v>
      </c>
      <c r="N18" s="61" t="s">
        <v>116</v>
      </c>
      <c r="O18" s="62" t="s">
        <v>147</v>
      </c>
      <c r="P18" s="63" t="s">
        <v>83</v>
      </c>
    </row>
    <row r="19" spans="1:16" ht="12.75" customHeight="1" thickBot="1" x14ac:dyDescent="0.25">
      <c r="A19" s="10" t="str">
        <f t="shared" si="0"/>
        <v>IBVS 5929 </v>
      </c>
      <c r="B19" s="3" t="str">
        <f t="shared" si="1"/>
        <v>II</v>
      </c>
      <c r="C19" s="10">
        <f t="shared" si="2"/>
        <v>55188.792800000003</v>
      </c>
      <c r="D19" s="12" t="str">
        <f t="shared" si="3"/>
        <v>vis</v>
      </c>
      <c r="E19" s="59">
        <f>VLOOKUP(C19,Active!C$21:E$966,3,FALSE)</f>
        <v>5083.500609234924</v>
      </c>
      <c r="F19" s="3" t="s">
        <v>69</v>
      </c>
      <c r="G19" s="12" t="str">
        <f t="shared" si="4"/>
        <v>55188.7928</v>
      </c>
      <c r="H19" s="10">
        <f t="shared" si="5"/>
        <v>5083.5</v>
      </c>
      <c r="I19" s="60" t="s">
        <v>157</v>
      </c>
      <c r="J19" s="61" t="s">
        <v>158</v>
      </c>
      <c r="K19" s="60" t="s">
        <v>159</v>
      </c>
      <c r="L19" s="60" t="s">
        <v>160</v>
      </c>
      <c r="M19" s="61" t="s">
        <v>81</v>
      </c>
      <c r="N19" s="61" t="s">
        <v>116</v>
      </c>
      <c r="O19" s="62" t="s">
        <v>161</v>
      </c>
      <c r="P19" s="63" t="s">
        <v>162</v>
      </c>
    </row>
    <row r="20" spans="1:16" ht="12.75" customHeight="1" thickBot="1" x14ac:dyDescent="0.25">
      <c r="A20" s="10" t="str">
        <f t="shared" si="0"/>
        <v>IBVS 5945 </v>
      </c>
      <c r="B20" s="3" t="str">
        <f t="shared" si="1"/>
        <v>II</v>
      </c>
      <c r="C20" s="10">
        <f t="shared" si="2"/>
        <v>55298.792600000001</v>
      </c>
      <c r="D20" s="12" t="str">
        <f t="shared" si="3"/>
        <v>vis</v>
      </c>
      <c r="E20" s="59">
        <f>VLOOKUP(C20,Active!C$21:E$966,3,FALSE)</f>
        <v>5291.4979985982127</v>
      </c>
      <c r="F20" s="3" t="s">
        <v>69</v>
      </c>
      <c r="G20" s="12" t="str">
        <f t="shared" si="4"/>
        <v>55298.7926</v>
      </c>
      <c r="H20" s="10">
        <f t="shared" si="5"/>
        <v>5291.5</v>
      </c>
      <c r="I20" s="60" t="s">
        <v>163</v>
      </c>
      <c r="J20" s="61" t="s">
        <v>164</v>
      </c>
      <c r="K20" s="60" t="s">
        <v>165</v>
      </c>
      <c r="L20" s="60" t="s">
        <v>166</v>
      </c>
      <c r="M20" s="61" t="s">
        <v>81</v>
      </c>
      <c r="N20" s="61" t="s">
        <v>69</v>
      </c>
      <c r="O20" s="62" t="s">
        <v>90</v>
      </c>
      <c r="P20" s="63" t="s">
        <v>167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55579.877399999998</v>
      </c>
      <c r="D21" s="12" t="str">
        <f t="shared" si="3"/>
        <v>vis</v>
      </c>
      <c r="E21" s="59">
        <f>VLOOKUP(C21,Active!C$21:E$966,3,FALSE)</f>
        <v>5822.9980975956896</v>
      </c>
      <c r="F21" s="3" t="s">
        <v>69</v>
      </c>
      <c r="G21" s="12" t="str">
        <f t="shared" si="4"/>
        <v>55579.8774</v>
      </c>
      <c r="H21" s="10">
        <f t="shared" si="5"/>
        <v>5823</v>
      </c>
      <c r="I21" s="60" t="s">
        <v>168</v>
      </c>
      <c r="J21" s="61" t="s">
        <v>169</v>
      </c>
      <c r="K21" s="60" t="s">
        <v>170</v>
      </c>
      <c r="L21" s="60" t="s">
        <v>171</v>
      </c>
      <c r="M21" s="61" t="s">
        <v>81</v>
      </c>
      <c r="N21" s="61" t="s">
        <v>69</v>
      </c>
      <c r="O21" s="62" t="s">
        <v>90</v>
      </c>
      <c r="P21" s="63" t="s">
        <v>172</v>
      </c>
    </row>
    <row r="22" spans="1:16" ht="12.75" customHeight="1" thickBot="1" x14ac:dyDescent="0.25">
      <c r="A22" s="10" t="str">
        <f t="shared" si="0"/>
        <v>IBVS 5992 </v>
      </c>
      <c r="B22" s="3" t="str">
        <f t="shared" si="1"/>
        <v>II</v>
      </c>
      <c r="C22" s="10">
        <f t="shared" si="2"/>
        <v>55644.662600000003</v>
      </c>
      <c r="D22" s="12" t="str">
        <f t="shared" si="3"/>
        <v>vis</v>
      </c>
      <c r="E22" s="59">
        <f>VLOOKUP(C22,Active!C$21:E$966,3,FALSE)</f>
        <v>5945.4997064111603</v>
      </c>
      <c r="F22" s="3" t="s">
        <v>69</v>
      </c>
      <c r="G22" s="12" t="str">
        <f t="shared" si="4"/>
        <v>55644.6626</v>
      </c>
      <c r="H22" s="10">
        <f t="shared" si="5"/>
        <v>5945.5</v>
      </c>
      <c r="I22" s="60" t="s">
        <v>173</v>
      </c>
      <c r="J22" s="61" t="s">
        <v>174</v>
      </c>
      <c r="K22" s="60" t="s">
        <v>175</v>
      </c>
      <c r="L22" s="60" t="s">
        <v>176</v>
      </c>
      <c r="M22" s="61" t="s">
        <v>81</v>
      </c>
      <c r="N22" s="61" t="s">
        <v>69</v>
      </c>
      <c r="O22" s="62" t="s">
        <v>90</v>
      </c>
      <c r="P22" s="63" t="s">
        <v>172</v>
      </c>
    </row>
    <row r="23" spans="1:16" ht="12.75" customHeight="1" thickBot="1" x14ac:dyDescent="0.25">
      <c r="A23" s="10" t="str">
        <f t="shared" si="0"/>
        <v>IBVS 6029 </v>
      </c>
      <c r="B23" s="3" t="str">
        <f t="shared" si="1"/>
        <v>I</v>
      </c>
      <c r="C23" s="10">
        <f t="shared" si="2"/>
        <v>55963.823499999999</v>
      </c>
      <c r="D23" s="12" t="str">
        <f t="shared" si="3"/>
        <v>vis</v>
      </c>
      <c r="E23" s="59">
        <f>VLOOKUP(C23,Active!C$21:E$966,3,FALSE)</f>
        <v>6548.9974762874508</v>
      </c>
      <c r="F23" s="3" t="s">
        <v>69</v>
      </c>
      <c r="G23" s="12" t="str">
        <f t="shared" si="4"/>
        <v>55963.8235</v>
      </c>
      <c r="H23" s="10">
        <f t="shared" si="5"/>
        <v>6549</v>
      </c>
      <c r="I23" s="60" t="s">
        <v>177</v>
      </c>
      <c r="J23" s="61" t="s">
        <v>178</v>
      </c>
      <c r="K23" s="60" t="s">
        <v>179</v>
      </c>
      <c r="L23" s="60" t="s">
        <v>180</v>
      </c>
      <c r="M23" s="61" t="s">
        <v>81</v>
      </c>
      <c r="N23" s="61" t="s">
        <v>69</v>
      </c>
      <c r="O23" s="62" t="s">
        <v>90</v>
      </c>
      <c r="P23" s="63" t="s">
        <v>181</v>
      </c>
    </row>
    <row r="24" spans="1:16" ht="12.75" customHeight="1" thickBot="1" x14ac:dyDescent="0.25">
      <c r="A24" s="10" t="str">
        <f t="shared" si="0"/>
        <v>IBVS 6050 </v>
      </c>
      <c r="B24" s="3" t="str">
        <f t="shared" si="1"/>
        <v>II</v>
      </c>
      <c r="C24" s="10">
        <f t="shared" si="2"/>
        <v>56012.744299999998</v>
      </c>
      <c r="D24" s="12" t="str">
        <f t="shared" si="3"/>
        <v>vis</v>
      </c>
      <c r="E24" s="59">
        <f>VLOOKUP(C24,Active!C$21:E$966,3,FALSE)</f>
        <v>6641.5012688903807</v>
      </c>
      <c r="F24" s="3" t="s">
        <v>69</v>
      </c>
      <c r="G24" s="12" t="str">
        <f t="shared" si="4"/>
        <v>56012.7443</v>
      </c>
      <c r="H24" s="10">
        <f t="shared" si="5"/>
        <v>6641.5</v>
      </c>
      <c r="I24" s="60" t="s">
        <v>182</v>
      </c>
      <c r="J24" s="61" t="s">
        <v>183</v>
      </c>
      <c r="K24" s="60" t="s">
        <v>184</v>
      </c>
      <c r="L24" s="60" t="s">
        <v>132</v>
      </c>
      <c r="M24" s="61" t="s">
        <v>81</v>
      </c>
      <c r="N24" s="61" t="s">
        <v>116</v>
      </c>
      <c r="O24" s="62" t="s">
        <v>161</v>
      </c>
      <c r="P24" s="63" t="s">
        <v>185</v>
      </c>
    </row>
    <row r="25" spans="1:16" ht="12.75" customHeight="1" thickBot="1" x14ac:dyDescent="0.25">
      <c r="A25" s="10" t="str">
        <f t="shared" si="0"/>
        <v>IBVS 6029 </v>
      </c>
      <c r="B25" s="3" t="str">
        <f t="shared" si="1"/>
        <v>II</v>
      </c>
      <c r="C25" s="10">
        <f t="shared" si="2"/>
        <v>56029.6708</v>
      </c>
      <c r="D25" s="12" t="str">
        <f t="shared" si="3"/>
        <v>vis</v>
      </c>
      <c r="E25" s="59">
        <f>VLOOKUP(C25,Active!C$21:E$966,3,FALSE)</f>
        <v>6673.5073980929619</v>
      </c>
      <c r="F25" s="3" t="s">
        <v>69</v>
      </c>
      <c r="G25" s="12" t="str">
        <f t="shared" si="4"/>
        <v>56029.6708</v>
      </c>
      <c r="H25" s="10">
        <f t="shared" si="5"/>
        <v>6673.5</v>
      </c>
      <c r="I25" s="60" t="s">
        <v>186</v>
      </c>
      <c r="J25" s="61" t="s">
        <v>187</v>
      </c>
      <c r="K25" s="60" t="s">
        <v>188</v>
      </c>
      <c r="L25" s="60" t="s">
        <v>189</v>
      </c>
      <c r="M25" s="61" t="s">
        <v>81</v>
      </c>
      <c r="N25" s="61" t="s">
        <v>69</v>
      </c>
      <c r="O25" s="62" t="s">
        <v>90</v>
      </c>
      <c r="P25" s="63" t="s">
        <v>181</v>
      </c>
    </row>
    <row r="26" spans="1:16" ht="12.75" customHeight="1" thickBot="1" x14ac:dyDescent="0.25">
      <c r="A26" s="10" t="str">
        <f t="shared" si="0"/>
        <v>IBVS 6063 </v>
      </c>
      <c r="B26" s="3" t="str">
        <f t="shared" si="1"/>
        <v>I</v>
      </c>
      <c r="C26" s="10">
        <f t="shared" si="2"/>
        <v>56312.869500000001</v>
      </c>
      <c r="D26" s="12" t="str">
        <f t="shared" si="3"/>
        <v>vis</v>
      </c>
      <c r="E26" s="59">
        <f>VLOOKUP(C26,Active!C$21:E$966,3,FALSE)</f>
        <v>7209.0046469159461</v>
      </c>
      <c r="F26" s="3" t="s">
        <v>69</v>
      </c>
      <c r="G26" s="12" t="str">
        <f t="shared" si="4"/>
        <v>56312.8695</v>
      </c>
      <c r="H26" s="10">
        <f t="shared" si="5"/>
        <v>7209</v>
      </c>
      <c r="I26" s="60" t="s">
        <v>190</v>
      </c>
      <c r="J26" s="61" t="s">
        <v>191</v>
      </c>
      <c r="K26" s="60" t="s">
        <v>192</v>
      </c>
      <c r="L26" s="60" t="s">
        <v>109</v>
      </c>
      <c r="M26" s="61" t="s">
        <v>81</v>
      </c>
      <c r="N26" s="61" t="s">
        <v>69</v>
      </c>
      <c r="O26" s="62" t="s">
        <v>90</v>
      </c>
      <c r="P26" s="63" t="s">
        <v>193</v>
      </c>
    </row>
    <row r="27" spans="1:16" ht="12.75" customHeight="1" thickBot="1" x14ac:dyDescent="0.25">
      <c r="A27" s="10" t="str">
        <f t="shared" si="0"/>
        <v>IBVS 6094 </v>
      </c>
      <c r="B27" s="3" t="str">
        <f t="shared" si="1"/>
        <v>I</v>
      </c>
      <c r="C27" s="10">
        <f t="shared" si="2"/>
        <v>56342.483899999999</v>
      </c>
      <c r="D27" s="12" t="str">
        <f t="shared" si="3"/>
        <v>vis</v>
      </c>
      <c r="E27" s="59">
        <f>VLOOKUP(C27,Active!C$21:E$966,3,FALSE)</f>
        <v>7265.0021840711051</v>
      </c>
      <c r="F27" s="3" t="s">
        <v>69</v>
      </c>
      <c r="G27" s="12" t="str">
        <f t="shared" si="4"/>
        <v>56342.4839</v>
      </c>
      <c r="H27" s="10">
        <f t="shared" si="5"/>
        <v>7265</v>
      </c>
      <c r="I27" s="60" t="s">
        <v>194</v>
      </c>
      <c r="J27" s="61" t="s">
        <v>195</v>
      </c>
      <c r="K27" s="60" t="s">
        <v>196</v>
      </c>
      <c r="L27" s="60" t="s">
        <v>197</v>
      </c>
      <c r="M27" s="61" t="s">
        <v>81</v>
      </c>
      <c r="N27" s="61" t="s">
        <v>69</v>
      </c>
      <c r="O27" s="62" t="s">
        <v>198</v>
      </c>
      <c r="P27" s="63" t="s">
        <v>199</v>
      </c>
    </row>
    <row r="28" spans="1:16" ht="12.75" customHeight="1" thickBot="1" x14ac:dyDescent="0.25">
      <c r="A28" s="10" t="str">
        <f t="shared" si="0"/>
        <v>BAVM 234 </v>
      </c>
      <c r="B28" s="3" t="str">
        <f t="shared" si="1"/>
        <v>II</v>
      </c>
      <c r="C28" s="10">
        <f t="shared" si="2"/>
        <v>56384.527600000001</v>
      </c>
      <c r="D28" s="12" t="str">
        <f t="shared" si="3"/>
        <v>vis</v>
      </c>
      <c r="E28" s="59">
        <f>VLOOKUP(C28,Active!C$21:E$966,3,FALSE)</f>
        <v>7344.5021453362515</v>
      </c>
      <c r="F28" s="3" t="s">
        <v>69</v>
      </c>
      <c r="G28" s="12" t="str">
        <f t="shared" si="4"/>
        <v>56384.5276</v>
      </c>
      <c r="H28" s="10">
        <f t="shared" si="5"/>
        <v>7344.5</v>
      </c>
      <c r="I28" s="60" t="s">
        <v>200</v>
      </c>
      <c r="J28" s="61" t="s">
        <v>201</v>
      </c>
      <c r="K28" s="60" t="s">
        <v>202</v>
      </c>
      <c r="L28" s="60" t="s">
        <v>132</v>
      </c>
      <c r="M28" s="61" t="s">
        <v>81</v>
      </c>
      <c r="N28" s="61" t="s">
        <v>69</v>
      </c>
      <c r="O28" s="62" t="s">
        <v>127</v>
      </c>
      <c r="P28" s="63" t="s">
        <v>203</v>
      </c>
    </row>
    <row r="29" spans="1:16" ht="12.75" customHeight="1" thickBot="1" x14ac:dyDescent="0.25">
      <c r="A29" s="10" t="str">
        <f t="shared" si="0"/>
        <v>IBVS 3914 </v>
      </c>
      <c r="B29" s="3" t="str">
        <f t="shared" si="1"/>
        <v>II</v>
      </c>
      <c r="C29" s="10">
        <f t="shared" si="2"/>
        <v>49104.359199999999</v>
      </c>
      <c r="D29" s="12" t="str">
        <f t="shared" si="3"/>
        <v>vis</v>
      </c>
      <c r="E29" s="59">
        <f>VLOOKUP(C29,Active!C$21:E$966,3,FALSE)</f>
        <v>-6421.4867139629623</v>
      </c>
      <c r="F29" s="3" t="s">
        <v>69</v>
      </c>
      <c r="G29" s="12" t="str">
        <f t="shared" si="4"/>
        <v>49104.3592</v>
      </c>
      <c r="H29" s="10">
        <f t="shared" si="5"/>
        <v>-6421.5</v>
      </c>
      <c r="I29" s="60" t="s">
        <v>71</v>
      </c>
      <c r="J29" s="61" t="s">
        <v>72</v>
      </c>
      <c r="K29" s="60">
        <v>-6421.5</v>
      </c>
      <c r="L29" s="60" t="s">
        <v>73</v>
      </c>
      <c r="M29" s="61" t="s">
        <v>74</v>
      </c>
      <c r="N29" s="61" t="s">
        <v>75</v>
      </c>
      <c r="O29" s="62" t="s">
        <v>76</v>
      </c>
      <c r="P29" s="63" t="s">
        <v>77</v>
      </c>
    </row>
    <row r="30" spans="1:16" ht="12.75" customHeight="1" thickBot="1" x14ac:dyDescent="0.25">
      <c r="A30" s="10" t="str">
        <f t="shared" si="0"/>
        <v>OEJV 0107 </v>
      </c>
      <c r="B30" s="3" t="str">
        <f t="shared" si="1"/>
        <v>II</v>
      </c>
      <c r="C30" s="10">
        <f t="shared" si="2"/>
        <v>52030.4928</v>
      </c>
      <c r="D30" s="12" t="str">
        <f t="shared" si="3"/>
        <v>vis</v>
      </c>
      <c r="E30" s="59" t="e">
        <f>VLOOKUP(C30,Active!C$21:E$966,3,FALSE)</f>
        <v>#N/A</v>
      </c>
      <c r="F30" s="3" t="s">
        <v>69</v>
      </c>
      <c r="G30" s="12" t="str">
        <f t="shared" si="4"/>
        <v>52030.4928</v>
      </c>
      <c r="H30" s="10">
        <f t="shared" si="5"/>
        <v>-888.5</v>
      </c>
      <c r="I30" s="60" t="s">
        <v>78</v>
      </c>
      <c r="J30" s="61" t="s">
        <v>79</v>
      </c>
      <c r="K30" s="60">
        <v>-888.5</v>
      </c>
      <c r="L30" s="60" t="s">
        <v>80</v>
      </c>
      <c r="M30" s="61" t="s">
        <v>81</v>
      </c>
      <c r="N30" s="61" t="s">
        <v>69</v>
      </c>
      <c r="O30" s="62" t="s">
        <v>82</v>
      </c>
      <c r="P30" s="63" t="s">
        <v>83</v>
      </c>
    </row>
    <row r="31" spans="1:16" ht="12.75" customHeight="1" thickBot="1" x14ac:dyDescent="0.25">
      <c r="A31" s="10" t="str">
        <f t="shared" si="0"/>
        <v>OEJV 0107 </v>
      </c>
      <c r="B31" s="3" t="str">
        <f t="shared" si="1"/>
        <v>I</v>
      </c>
      <c r="C31" s="10">
        <f t="shared" si="2"/>
        <v>52033.399799999999</v>
      </c>
      <c r="D31" s="12" t="str">
        <f t="shared" si="3"/>
        <v>vis</v>
      </c>
      <c r="E31" s="59" t="e">
        <f>VLOOKUP(C31,Active!C$21:E$966,3,FALSE)</f>
        <v>#N/A</v>
      </c>
      <c r="F31" s="3" t="s">
        <v>69</v>
      </c>
      <c r="G31" s="12" t="str">
        <f t="shared" si="4"/>
        <v>52033.3998</v>
      </c>
      <c r="H31" s="10">
        <f t="shared" si="5"/>
        <v>-883</v>
      </c>
      <c r="I31" s="60" t="s">
        <v>84</v>
      </c>
      <c r="J31" s="61" t="s">
        <v>85</v>
      </c>
      <c r="K31" s="60">
        <v>-883</v>
      </c>
      <c r="L31" s="60" t="s">
        <v>86</v>
      </c>
      <c r="M31" s="61" t="s">
        <v>81</v>
      </c>
      <c r="N31" s="61" t="s">
        <v>69</v>
      </c>
      <c r="O31" s="62" t="s">
        <v>82</v>
      </c>
      <c r="P31" s="63" t="s">
        <v>83</v>
      </c>
    </row>
    <row r="32" spans="1:16" ht="12.75" customHeight="1" thickBot="1" x14ac:dyDescent="0.25">
      <c r="A32" s="10" t="str">
        <f t="shared" si="0"/>
        <v> BBS 125 </v>
      </c>
      <c r="B32" s="3" t="str">
        <f t="shared" si="1"/>
        <v>I</v>
      </c>
      <c r="C32" s="10">
        <f t="shared" si="2"/>
        <v>52042.387999999999</v>
      </c>
      <c r="D32" s="12" t="str">
        <f t="shared" si="3"/>
        <v>vis</v>
      </c>
      <c r="E32" s="59">
        <f>VLOOKUP(C32,Active!C$21:E$966,3,FALSE)</f>
        <v>-866.00097422372414</v>
      </c>
      <c r="F32" s="3" t="s">
        <v>69</v>
      </c>
      <c r="G32" s="12" t="str">
        <f t="shared" si="4"/>
        <v>52042.388</v>
      </c>
      <c r="H32" s="10">
        <f t="shared" si="5"/>
        <v>-866</v>
      </c>
      <c r="I32" s="60" t="s">
        <v>87</v>
      </c>
      <c r="J32" s="61" t="s">
        <v>88</v>
      </c>
      <c r="K32" s="60">
        <v>-866</v>
      </c>
      <c r="L32" s="60" t="s">
        <v>89</v>
      </c>
      <c r="M32" s="61" t="s">
        <v>74</v>
      </c>
      <c r="N32" s="61" t="s">
        <v>75</v>
      </c>
      <c r="O32" s="62" t="s">
        <v>90</v>
      </c>
      <c r="P32" s="62" t="s">
        <v>91</v>
      </c>
    </row>
    <row r="33" spans="1:16" ht="12.75" customHeight="1" thickBot="1" x14ac:dyDescent="0.25">
      <c r="A33" s="10" t="str">
        <f t="shared" si="0"/>
        <v> BBS 127 </v>
      </c>
      <c r="B33" s="3" t="str">
        <f t="shared" si="1"/>
        <v>I</v>
      </c>
      <c r="C33" s="10">
        <f t="shared" si="2"/>
        <v>52344.366000000002</v>
      </c>
      <c r="D33" s="12" t="str">
        <f t="shared" si="3"/>
        <v>vis</v>
      </c>
      <c r="E33" s="59">
        <f>VLOOKUP(C33,Active!C$21:E$966,3,FALSE)</f>
        <v>-294.99415743724774</v>
      </c>
      <c r="F33" s="3" t="s">
        <v>69</v>
      </c>
      <c r="G33" s="12" t="str">
        <f t="shared" si="4"/>
        <v>52344.366</v>
      </c>
      <c r="H33" s="10">
        <f t="shared" si="5"/>
        <v>-295</v>
      </c>
      <c r="I33" s="60" t="s">
        <v>92</v>
      </c>
      <c r="J33" s="61" t="s">
        <v>93</v>
      </c>
      <c r="K33" s="60">
        <v>-295</v>
      </c>
      <c r="L33" s="60" t="s">
        <v>94</v>
      </c>
      <c r="M33" s="61" t="s">
        <v>74</v>
      </c>
      <c r="N33" s="61" t="s">
        <v>75</v>
      </c>
      <c r="O33" s="62" t="s">
        <v>90</v>
      </c>
      <c r="P33" s="62" t="s">
        <v>95</v>
      </c>
    </row>
    <row r="34" spans="1:16" ht="12.75" customHeight="1" thickBot="1" x14ac:dyDescent="0.25">
      <c r="A34" s="10" t="str">
        <f t="shared" si="0"/>
        <v>OEJV 0094 </v>
      </c>
      <c r="B34" s="3" t="str">
        <f t="shared" si="1"/>
        <v>I</v>
      </c>
      <c r="C34" s="10">
        <f t="shared" si="2"/>
        <v>54571.360099999998</v>
      </c>
      <c r="D34" s="12" t="str">
        <f t="shared" si="3"/>
        <v>vis</v>
      </c>
      <c r="E34" s="59" t="e">
        <f>VLOOKUP(C34,Active!C$21:E$966,3,FALSE)</f>
        <v>#N/A</v>
      </c>
      <c r="F34" s="3" t="s">
        <v>69</v>
      </c>
      <c r="G34" s="12" t="str">
        <f t="shared" si="4"/>
        <v>54571.3601</v>
      </c>
      <c r="H34" s="10">
        <f t="shared" si="5"/>
        <v>3916</v>
      </c>
      <c r="I34" s="60" t="s">
        <v>112</v>
      </c>
      <c r="J34" s="61" t="s">
        <v>113</v>
      </c>
      <c r="K34" s="60" t="s">
        <v>114</v>
      </c>
      <c r="L34" s="60" t="s">
        <v>115</v>
      </c>
      <c r="M34" s="61" t="s">
        <v>81</v>
      </c>
      <c r="N34" s="61" t="s">
        <v>116</v>
      </c>
      <c r="O34" s="62" t="s">
        <v>117</v>
      </c>
      <c r="P34" s="63" t="s">
        <v>118</v>
      </c>
    </row>
    <row r="35" spans="1:16" ht="12.75" customHeight="1" thickBot="1" x14ac:dyDescent="0.25">
      <c r="A35" s="10" t="str">
        <f t="shared" si="0"/>
        <v>OEJV 0094 </v>
      </c>
      <c r="B35" s="3" t="str">
        <f t="shared" si="1"/>
        <v>II</v>
      </c>
      <c r="C35" s="10">
        <f t="shared" si="2"/>
        <v>54585.374400000001</v>
      </c>
      <c r="D35" s="12" t="str">
        <f t="shared" si="3"/>
        <v>vis</v>
      </c>
      <c r="E35" s="59" t="e">
        <f>VLOOKUP(C35,Active!C$21:E$966,3,FALSE)</f>
        <v>#N/A</v>
      </c>
      <c r="F35" s="3" t="s">
        <v>69</v>
      </c>
      <c r="G35" s="12" t="str">
        <f t="shared" si="4"/>
        <v>54585.3744</v>
      </c>
      <c r="H35" s="10">
        <f t="shared" si="5"/>
        <v>3942.5</v>
      </c>
      <c r="I35" s="60" t="s">
        <v>119</v>
      </c>
      <c r="J35" s="61" t="s">
        <v>120</v>
      </c>
      <c r="K35" s="60" t="s">
        <v>121</v>
      </c>
      <c r="L35" s="60" t="s">
        <v>122</v>
      </c>
      <c r="M35" s="61" t="s">
        <v>81</v>
      </c>
      <c r="N35" s="61" t="s">
        <v>116</v>
      </c>
      <c r="O35" s="62" t="s">
        <v>117</v>
      </c>
      <c r="P35" s="63" t="s">
        <v>118</v>
      </c>
    </row>
    <row r="36" spans="1:16" ht="12.75" customHeight="1" thickBot="1" x14ac:dyDescent="0.25">
      <c r="A36" s="10" t="str">
        <f t="shared" si="0"/>
        <v>OEJV 0107 </v>
      </c>
      <c r="B36" s="3" t="str">
        <f t="shared" si="1"/>
        <v>II</v>
      </c>
      <c r="C36" s="10">
        <f t="shared" si="2"/>
        <v>54829.701500000003</v>
      </c>
      <c r="D36" s="12" t="str">
        <f t="shared" si="3"/>
        <v>vis</v>
      </c>
      <c r="E36" s="59" t="e">
        <f>VLOOKUP(C36,Active!C$21:E$966,3,FALSE)</f>
        <v>#N/A</v>
      </c>
      <c r="F36" s="3" t="s">
        <v>69</v>
      </c>
      <c r="G36" s="12" t="str">
        <f t="shared" si="4"/>
        <v>54829.7015</v>
      </c>
      <c r="H36" s="10">
        <f t="shared" si="5"/>
        <v>4404.5</v>
      </c>
      <c r="I36" s="60" t="s">
        <v>129</v>
      </c>
      <c r="J36" s="61" t="s">
        <v>130</v>
      </c>
      <c r="K36" s="60" t="s">
        <v>131</v>
      </c>
      <c r="L36" s="60" t="s">
        <v>132</v>
      </c>
      <c r="M36" s="61" t="s">
        <v>81</v>
      </c>
      <c r="N36" s="61" t="s">
        <v>116</v>
      </c>
      <c r="O36" s="62" t="s">
        <v>133</v>
      </c>
      <c r="P36" s="63" t="s">
        <v>83</v>
      </c>
    </row>
    <row r="37" spans="1:16" ht="12.75" customHeight="1" thickBot="1" x14ac:dyDescent="0.25">
      <c r="A37" s="10" t="str">
        <f t="shared" si="0"/>
        <v>OEJV 0107 </v>
      </c>
      <c r="B37" s="3" t="str">
        <f t="shared" si="1"/>
        <v>I</v>
      </c>
      <c r="C37" s="10">
        <f t="shared" si="2"/>
        <v>54893.430200000003</v>
      </c>
      <c r="D37" s="12" t="str">
        <f t="shared" si="3"/>
        <v>vis</v>
      </c>
      <c r="E37" s="59" t="e">
        <f>VLOOKUP(C37,Active!C$21:E$966,3,FALSE)</f>
        <v>#N/A</v>
      </c>
      <c r="F37" s="3" t="s">
        <v>69</v>
      </c>
      <c r="G37" s="12" t="str">
        <f t="shared" si="4"/>
        <v>54893.4302</v>
      </c>
      <c r="H37" s="10">
        <f t="shared" si="5"/>
        <v>4525</v>
      </c>
      <c r="I37" s="60" t="s">
        <v>143</v>
      </c>
      <c r="J37" s="61" t="s">
        <v>144</v>
      </c>
      <c r="K37" s="60" t="s">
        <v>145</v>
      </c>
      <c r="L37" s="60" t="s">
        <v>146</v>
      </c>
      <c r="M37" s="61" t="s">
        <v>81</v>
      </c>
      <c r="N37" s="61" t="s">
        <v>116</v>
      </c>
      <c r="O37" s="62" t="s">
        <v>147</v>
      </c>
      <c r="P37" s="63" t="s">
        <v>83</v>
      </c>
    </row>
    <row r="38" spans="1:16" ht="12.75" customHeight="1" thickBot="1" x14ac:dyDescent="0.25">
      <c r="A38" s="10" t="str">
        <f t="shared" si="0"/>
        <v>BAVM 241 (=IBVS 6157) </v>
      </c>
      <c r="B38" s="3" t="str">
        <f t="shared" si="1"/>
        <v>II</v>
      </c>
      <c r="C38" s="10">
        <f t="shared" si="2"/>
        <v>57080.498699999996</v>
      </c>
      <c r="D38" s="12" t="str">
        <f t="shared" si="3"/>
        <v>vis</v>
      </c>
      <c r="E38" s="59">
        <f>VLOOKUP(C38,Active!C$21:E$966,3,FALSE)</f>
        <v>8660.5061005461539</v>
      </c>
      <c r="F38" s="3" t="s">
        <v>69</v>
      </c>
      <c r="G38" s="12" t="str">
        <f t="shared" si="4"/>
        <v>57080.4987</v>
      </c>
      <c r="H38" s="10">
        <f t="shared" si="5"/>
        <v>8660.5</v>
      </c>
      <c r="I38" s="60" t="s">
        <v>204</v>
      </c>
      <c r="J38" s="61" t="s">
        <v>205</v>
      </c>
      <c r="K38" s="60" t="s">
        <v>206</v>
      </c>
      <c r="L38" s="60" t="s">
        <v>109</v>
      </c>
      <c r="M38" s="61" t="s">
        <v>81</v>
      </c>
      <c r="N38" s="61" t="s">
        <v>103</v>
      </c>
      <c r="O38" s="62" t="s">
        <v>104</v>
      </c>
      <c r="P38" s="63" t="s">
        <v>207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</sheetData>
  <phoneticPr fontId="8" type="noConversion"/>
  <hyperlinks>
    <hyperlink ref="P29" r:id="rId1" display="http://www.konkoly.hu/cgi-bin/IBVS?3914"/>
    <hyperlink ref="P30" r:id="rId2" display="http://var.astro.cz/oejv/issues/oejv0107.pdf"/>
    <hyperlink ref="P31" r:id="rId3" display="http://var.astro.cz/oejv/issues/oejv0107.pdf"/>
    <hyperlink ref="P12" r:id="rId4" display="http://www.bav-astro.de/sfs/BAVM_link.php?BAVMnr=178"/>
    <hyperlink ref="P13" r:id="rId5" display="http://www.bav-astro.de/sfs/BAVM_link.php?BAVMnr=201"/>
    <hyperlink ref="P34" r:id="rId6" display="http://var.astro.cz/oejv/issues/oejv0094.pdf"/>
    <hyperlink ref="P35" r:id="rId7" display="http://var.astro.cz/oejv/issues/oejv0094.pdf"/>
    <hyperlink ref="P14" r:id="rId8" display="http://www.bav-astro.de/sfs/BAVM_link.php?BAVMnr=209"/>
    <hyperlink ref="P36" r:id="rId9" display="http://var.astro.cz/oejv/issues/oejv0107.pdf"/>
    <hyperlink ref="P15" r:id="rId10" display="http://var.astro.cz/oejv/issues/oejv0107.pdf"/>
    <hyperlink ref="P16" r:id="rId11" display="http://www.konkoly.hu/cgi-bin/IBVS?5894"/>
    <hyperlink ref="P37" r:id="rId12" display="http://var.astro.cz/oejv/issues/oejv0107.pdf"/>
    <hyperlink ref="P17" r:id="rId13" display="http://www.bav-astro.de/sfs/BAVM_link.php?BAVMnr=209"/>
    <hyperlink ref="P18" r:id="rId14" display="http://var.astro.cz/oejv/issues/oejv0107.pdf"/>
    <hyperlink ref="P19" r:id="rId15" display="http://www.konkoly.hu/cgi-bin/IBVS?5929"/>
    <hyperlink ref="P20" r:id="rId16" display="http://www.konkoly.hu/cgi-bin/IBVS?5945"/>
    <hyperlink ref="P21" r:id="rId17" display="http://www.konkoly.hu/cgi-bin/IBVS?5992"/>
    <hyperlink ref="P22" r:id="rId18" display="http://www.konkoly.hu/cgi-bin/IBVS?5992"/>
    <hyperlink ref="P23" r:id="rId19" display="http://www.konkoly.hu/cgi-bin/IBVS?6029"/>
    <hyperlink ref="P24" r:id="rId20" display="http://www.konkoly.hu/cgi-bin/IBVS?6050"/>
    <hyperlink ref="P25" r:id="rId21" display="http://www.konkoly.hu/cgi-bin/IBVS?6029"/>
    <hyperlink ref="P26" r:id="rId22" display="http://www.konkoly.hu/cgi-bin/IBVS?6063"/>
    <hyperlink ref="P27" r:id="rId23" display="http://www.konkoly.hu/cgi-bin/IBVS?6094"/>
    <hyperlink ref="P28" r:id="rId24" display="http://www.bav-astro.de/sfs/BAVM_link.php?BAVMnr=234"/>
    <hyperlink ref="P38" r:id="rId2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2023-01-25T04:54:58Z</dcterms:modified>
</cp:coreProperties>
</file>