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04D400DA-4540-4BC3-8F9E-B5284C2826F4}" xr6:coauthVersionLast="47" xr6:coauthVersionMax="47" xr10:uidLastSave="{00000000-0000-0000-0000-000000000000}"/>
  <bookViews>
    <workbookView xWindow="13875" yWindow="390" windowWidth="13320" windowHeight="1429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3" i="1" l="1"/>
  <c r="F43" i="1" s="1"/>
  <c r="G43" i="1" s="1"/>
  <c r="K43" i="1" s="1"/>
  <c r="Q43" i="1"/>
  <c r="E44" i="1"/>
  <c r="F44" i="1"/>
  <c r="G44" i="1" s="1"/>
  <c r="K44" i="1" s="1"/>
  <c r="Q44" i="1"/>
  <c r="E45" i="1"/>
  <c r="F45" i="1" s="1"/>
  <c r="G45" i="1" s="1"/>
  <c r="K45" i="1" s="1"/>
  <c r="Q45" i="1"/>
  <c r="C9" i="1"/>
  <c r="D9" i="1"/>
  <c r="F16" i="1"/>
  <c r="F17" i="1" s="1"/>
  <c r="C17" i="1"/>
  <c r="E21" i="1"/>
  <c r="F21" i="1"/>
  <c r="Q21" i="1"/>
  <c r="E22" i="1"/>
  <c r="F22" i="1"/>
  <c r="G22" i="1"/>
  <c r="I22" i="1"/>
  <c r="Q22" i="1"/>
  <c r="E23" i="1"/>
  <c r="F23" i="1"/>
  <c r="G23" i="1"/>
  <c r="I23" i="1"/>
  <c r="Q23" i="1"/>
  <c r="E24" i="1"/>
  <c r="F24" i="1"/>
  <c r="G24" i="1"/>
  <c r="J24" i="1"/>
  <c r="Q24" i="1"/>
  <c r="E25" i="1"/>
  <c r="F25" i="1"/>
  <c r="G25" i="1"/>
  <c r="J25" i="1"/>
  <c r="Q25" i="1"/>
  <c r="E26" i="1"/>
  <c r="F26" i="1"/>
  <c r="G26" i="1"/>
  <c r="J26" i="1"/>
  <c r="Q26" i="1"/>
  <c r="E27" i="1"/>
  <c r="F27" i="1"/>
  <c r="G27" i="1"/>
  <c r="K27" i="1"/>
  <c r="Q27" i="1"/>
  <c r="E28" i="1"/>
  <c r="F28" i="1"/>
  <c r="G28" i="1"/>
  <c r="K28" i="1"/>
  <c r="Q28" i="1"/>
  <c r="E29" i="1"/>
  <c r="F29" i="1"/>
  <c r="G29" i="1"/>
  <c r="K29" i="1"/>
  <c r="Q29" i="1"/>
  <c r="E30" i="1"/>
  <c r="F30" i="1"/>
  <c r="G30" i="1"/>
  <c r="K30" i="1"/>
  <c r="Q30" i="1"/>
  <c r="E31" i="1"/>
  <c r="F31" i="1"/>
  <c r="G31" i="1"/>
  <c r="K31" i="1"/>
  <c r="Q31" i="1"/>
  <c r="E32" i="1"/>
  <c r="F32" i="1"/>
  <c r="G32" i="1"/>
  <c r="K32" i="1"/>
  <c r="Q32" i="1"/>
  <c r="E33" i="1"/>
  <c r="F33" i="1"/>
  <c r="G33" i="1"/>
  <c r="K33" i="1"/>
  <c r="Q33" i="1"/>
  <c r="E34" i="1"/>
  <c r="F34" i="1"/>
  <c r="G34" i="1"/>
  <c r="K34" i="1"/>
  <c r="Q34" i="1"/>
  <c r="E35" i="1"/>
  <c r="F35" i="1"/>
  <c r="G35" i="1"/>
  <c r="K35" i="1"/>
  <c r="Q35" i="1"/>
  <c r="E36" i="1"/>
  <c r="F36" i="1"/>
  <c r="G36" i="1"/>
  <c r="K36" i="1"/>
  <c r="Q36" i="1"/>
  <c r="E37" i="1"/>
  <c r="F37" i="1"/>
  <c r="G37" i="1"/>
  <c r="K37" i="1"/>
  <c r="Q37" i="1"/>
  <c r="E38" i="1"/>
  <c r="F38" i="1"/>
  <c r="G38" i="1"/>
  <c r="K38" i="1"/>
  <c r="Q38" i="1"/>
  <c r="E39" i="1"/>
  <c r="F39" i="1"/>
  <c r="G39" i="1"/>
  <c r="K39" i="1"/>
  <c r="Q39" i="1"/>
  <c r="E40" i="1"/>
  <c r="F40" i="1"/>
  <c r="G40" i="1"/>
  <c r="K40" i="1"/>
  <c r="Q40" i="1"/>
  <c r="E41" i="1"/>
  <c r="F41" i="1"/>
  <c r="G41" i="1"/>
  <c r="K41" i="1"/>
  <c r="Q41" i="1"/>
  <c r="E42" i="1"/>
  <c r="F42" i="1"/>
  <c r="G42" i="1"/>
  <c r="K42" i="1"/>
  <c r="Q42" i="1"/>
  <c r="A11" i="2"/>
  <c r="D11" i="2"/>
  <c r="G11" i="2"/>
  <c r="C11" i="2"/>
  <c r="E11" i="2"/>
  <c r="H11" i="2"/>
  <c r="B11" i="2"/>
  <c r="A12" i="2"/>
  <c r="D12" i="2"/>
  <c r="G12" i="2"/>
  <c r="C12" i="2"/>
  <c r="E12" i="2"/>
  <c r="H12" i="2"/>
  <c r="B12" i="2"/>
  <c r="A13" i="2"/>
  <c r="B13" i="2"/>
  <c r="D13" i="2"/>
  <c r="G13" i="2"/>
  <c r="C13" i="2"/>
  <c r="E13" i="2"/>
  <c r="H13" i="2"/>
  <c r="A14" i="2"/>
  <c r="B14" i="2"/>
  <c r="D14" i="2"/>
  <c r="G14" i="2"/>
  <c r="C14" i="2"/>
  <c r="E14" i="2"/>
  <c r="H14" i="2"/>
  <c r="A15" i="2"/>
  <c r="C15" i="2"/>
  <c r="E15" i="2"/>
  <c r="D15" i="2"/>
  <c r="G15" i="2"/>
  <c r="H15" i="2"/>
  <c r="B15" i="2"/>
  <c r="A16" i="2"/>
  <c r="D16" i="2"/>
  <c r="G16" i="2"/>
  <c r="C16" i="2"/>
  <c r="E16" i="2"/>
  <c r="H16" i="2"/>
  <c r="B16" i="2"/>
  <c r="A17" i="2"/>
  <c r="B17" i="2"/>
  <c r="D17" i="2"/>
  <c r="G17" i="2"/>
  <c r="C17" i="2"/>
  <c r="E17" i="2"/>
  <c r="H17" i="2"/>
  <c r="A18" i="2"/>
  <c r="D18" i="2"/>
  <c r="G18" i="2"/>
  <c r="C18" i="2"/>
  <c r="E18" i="2"/>
  <c r="H18" i="2"/>
  <c r="B18" i="2"/>
  <c r="A19" i="2"/>
  <c r="C19" i="2"/>
  <c r="E19" i="2"/>
  <c r="D19" i="2"/>
  <c r="G19" i="2"/>
  <c r="H19" i="2"/>
  <c r="B19" i="2"/>
  <c r="C11" i="1"/>
  <c r="C12" i="1"/>
  <c r="O45" i="1" l="1"/>
  <c r="O44" i="1"/>
  <c r="O43" i="1"/>
  <c r="C16" i="1"/>
  <c r="D18" i="1" s="1"/>
  <c r="C15" i="1"/>
  <c r="O32" i="1"/>
  <c r="O41" i="1"/>
  <c r="O42" i="1"/>
  <c r="O33" i="1"/>
  <c r="O25" i="1"/>
  <c r="O26" i="1"/>
  <c r="O23" i="1"/>
  <c r="O22" i="1"/>
  <c r="O37" i="1"/>
  <c r="O31" i="1"/>
  <c r="O36" i="1"/>
  <c r="O30" i="1"/>
  <c r="O38" i="1"/>
  <c r="O35" i="1"/>
  <c r="O21" i="1"/>
  <c r="O29" i="1"/>
  <c r="O28" i="1"/>
  <c r="O34" i="1"/>
  <c r="O39" i="1"/>
  <c r="O27" i="1"/>
  <c r="O24" i="1"/>
  <c r="O40" i="1"/>
  <c r="C18" i="1" l="1"/>
  <c r="F18" i="1"/>
  <c r="F19" i="1" s="1"/>
</calcChain>
</file>

<file path=xl/sharedStrings.xml><?xml version="1.0" encoding="utf-8"?>
<sst xmlns="http://schemas.openxmlformats.org/spreadsheetml/2006/main" count="179" uniqueCount="116">
  <si>
    <t>HX UMa / GSC 3019-0818</t>
  </si>
  <si>
    <t>System Type:</t>
  </si>
  <si>
    <t>EB</t>
  </si>
  <si>
    <t>GCVS 4 Eph.</t>
  </si>
  <si>
    <t>not avail</t>
  </si>
  <si>
    <t>My time zone &gt;&gt;&gt;&gt;&gt;</t>
  </si>
  <si>
    <t>(PST=8, PDT=MDT=7, MDT=CST=6, etc.)</t>
  </si>
  <si>
    <t>--- Working ----</t>
  </si>
  <si>
    <t>Epoch =</t>
  </si>
  <si>
    <t>Period =</t>
  </si>
  <si>
    <t>2015-12-20 checked byToMcat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</si>
  <si>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</si>
  <si>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</si>
  <si>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</si>
  <si>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</si>
  <si>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</si>
  <si>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</si>
  <si>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</si>
  <si>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</si>
  <si>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</si>
  <si>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</si>
  <si>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</si>
  <si>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</si>
  <si>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</si>
  <si>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</si>
  <si>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</si>
  <si>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</si>
  <si>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</si>
  <si>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</si>
  <si>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</si>
  <si>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</si>
  <si>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</si>
  <si>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</si>
  <si>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</si>
  <si>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</si>
  <si>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</si>
  <si>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</si>
  <si>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</si>
  <si>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S4</t>
  </si>
  <si>
    <t>S5</t>
  </si>
  <si>
    <t>S6</t>
  </si>
  <si>
    <t>Lin Fit</t>
  </si>
  <si>
    <t>Q. Fit</t>
  </si>
  <si>
    <t>Date</t>
  </si>
  <si>
    <t>Hipparcos</t>
  </si>
  <si>
    <t>ROTSE</t>
  </si>
  <si>
    <t>I</t>
  </si>
  <si>
    <t>II</t>
  </si>
  <si>
    <t>IBVS 5623</t>
  </si>
  <si>
    <t>IBVS 5603</t>
  </si>
  <si>
    <t>IBVS 5592</t>
  </si>
  <si>
    <t>2013JAVSO..41..122</t>
  </si>
  <si>
    <t>IBVS 5835</t>
  </si>
  <si>
    <t>VSB 48 </t>
  </si>
  <si>
    <t>IBVS 6095</t>
  </si>
  <si>
    <t>OEJV 0160</t>
  </si>
  <si>
    <t>OEJV 0168</t>
  </si>
  <si>
    <t>OEJV 0179</t>
  </si>
  <si>
    <t>JAVSO..44..164</t>
  </si>
  <si>
    <t>JAVSO..47..105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</si>
  <si>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</si>
  <si>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</si>
  <si>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</si>
  <si>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</si>
  <si>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</si>
  <si>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</si>
  <si>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</si>
  <si>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</si>
  <si>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2453032.8037 </t>
  </si>
  <si>
    <t> 28.01.2004 07:17 </t>
  </si>
  <si>
    <t> -0.0004 </t>
  </si>
  <si>
    <t>E </t>
  </si>
  <si>
    <t>?</t>
  </si>
  <si>
    <t> S. Dvorak </t>
  </si>
  <si>
    <t>IBVS 5603 </t>
  </si>
  <si>
    <t>2453057.4504 </t>
  </si>
  <si>
    <t> 21.02.2004 22:48 </t>
  </si>
  <si>
    <t> 0.0010 </t>
  </si>
  <si>
    <t> T. Krajci </t>
  </si>
  <si>
    <t>IBVS 5592 </t>
  </si>
  <si>
    <t>2453839.6526 </t>
  </si>
  <si>
    <t> 14.04.2006 03:39 </t>
  </si>
  <si>
    <t> 0.0007 </t>
  </si>
  <si>
    <t>C </t>
  </si>
  <si>
    <t>V </t>
  </si>
  <si>
    <t> V.Petriew </t>
  </si>
  <si>
    <t> JAAVSO 41;122 </t>
  </si>
  <si>
    <t>2454211.425 </t>
  </si>
  <si>
    <t> 20.04.2007 22:12 </t>
  </si>
  <si>
    <t> 0.009 </t>
  </si>
  <si>
    <t> T.Borkovits et al. </t>
  </si>
  <si>
    <t>IBVS 5835 </t>
  </si>
  <si>
    <t>2456013.34917 </t>
  </si>
  <si>
    <t> 26.03.2012 20:22 </t>
  </si>
  <si>
    <t> -0.01440 </t>
  </si>
  <si>
    <t> J.Trnka </t>
  </si>
  <si>
    <t>OEJV 0160 </t>
  </si>
  <si>
    <t>2454565.1699 </t>
  </si>
  <si>
    <t> 08.04.2008 16:04 </t>
  </si>
  <si>
    <t> -0.0005 </t>
  </si>
  <si>
    <t>Ic</t>
  </si>
  <si>
    <t> K.Nakajima </t>
  </si>
  <si>
    <t>2454601.0010 </t>
  </si>
  <si>
    <t> 14.05.2008 12:01 </t>
  </si>
  <si>
    <t> 0.0002 </t>
  </si>
  <si>
    <t>2455975.4313 </t>
  </si>
  <si>
    <t> 17.02.2012 22:21 </t>
  </si>
  <si>
    <t> -0.0165 </t>
  </si>
  <si>
    <t>B;V</t>
  </si>
  <si>
    <t> A.Liakos et al. </t>
  </si>
  <si>
    <t>IBVS 6095 </t>
  </si>
  <si>
    <t>2455975.6226 </t>
  </si>
  <si>
    <t> 18.02.2012 02:56 </t>
  </si>
  <si>
    <t> -0.0148 </t>
  </si>
  <si>
    <t>JBAV, 63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</si>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</sst>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\$#,##0_);&quot;($&quot;#,##0\)"/>
    <numFmt numFmtId="165" formatCode="0.0000"/>
    <numFmt numFmtId="166" formatCode="0.00000000"/>
    <numFmt numFmtId="167" formatCode="m/d/yyyy\ h:mm"/>
    <numFmt numFmtId="170" formatCode="d/mm/yyyy;@"/>
    <numFmt numFmtId="171" formatCode="0.00000"/>
  </numFmts>
  <fonts count="17">
    <font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9"/>
      <color indexed="8"/>
      <name val="CourierNewPSMT"/>
      <family val="3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ill="0" applyBorder="0" applyProtection="0">
      <alignment vertical="top"/>
    </xf>
    <xf numFmtId="164" fontId="15" fillId="0" borderId="0" applyFill="0" applyBorder="0" applyProtection="0">
      <alignment vertical="top"/>
    </xf>
    <xf numFmtId="0" fontId="15" fillId="0" borderId="0" applyFill="0" applyBorder="0" applyProtection="0">
      <alignment vertical="top"/>
    </xf>
    <xf numFmtId="2" fontId="15" fillId="0" borderId="0" applyFill="0" applyBorder="0" applyProtection="0">
      <alignment vertical="top"/>
    </xf>
    <xf numFmtId="0" fontId="14" fillId="0" borderId="0" applyNumberFormat="0" applyFill="0" applyBorder="0" applyProtection="0">
      <alignment vertical="top"/>
    </xf>
    <xf numFmtId="0" fontId="15" fillId="0" borderId="0"/>
    <xf numFmtId="0" fontId="15" fillId="0" borderId="0"/>
  </cellStyleXfs>
  <cellXfs count="65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1" xfId="0" applyFont="1" applyBorder="1" applyAlignment="1">
      <alignment vertical="center"/>
    </xf>
    <xf numFmtId="0" fontId="3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165" fontId="0" fillId="0" borderId="0" xfId="0" applyNumberFormat="1" applyAlignment="1"/>
    <xf numFmtId="166" fontId="0" fillId="0" borderId="0" xfId="0" applyNumberFormat="1" applyAlignment="1"/>
    <xf numFmtId="0" fontId="6" fillId="0" borderId="0" xfId="0" applyFont="1" applyAlignment="1"/>
    <xf numFmtId="0" fontId="7" fillId="0" borderId="0" xfId="0" applyFont="1" applyAlignment="1">
      <alignment vertical="top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4" xfId="0" applyFont="1" applyBorder="1" applyAlignment="1">
      <alignment horizontal="center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7" fillId="0" borderId="0" xfId="0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7" fontId="8" fillId="0" borderId="0" xfId="0" applyNumberFormat="1" applyFont="1">
      <alignment vertical="top"/>
    </xf>
    <xf numFmtId="0" fontId="3" fillId="0" borderId="4" xfId="0" applyFont="1" applyBorder="1" applyAlignment="1">
      <alignment horizontal="center"/>
    </xf>
    <xf numFmtId="165" fontId="0" fillId="0" borderId="0" xfId="0" applyNumberFormat="1" applyAlignment="1">
      <alignment horizontal="left"/>
    </xf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left"/>
    </xf>
    <xf numFmtId="0" fontId="2" fillId="0" borderId="0" xfId="0" applyFont="1">
      <alignment vertical="top"/>
    </xf>
    <xf numFmtId="0" fontId="2" fillId="0" borderId="0" xfId="0" applyFont="1" applyAlignment="1">
      <alignment horizontal="center" vertic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7" applyFont="1"/>
    <xf numFmtId="0" fontId="2" fillId="0" borderId="0" xfId="7" applyFont="1" applyAlignment="1">
      <alignment horizontal="center"/>
    </xf>
    <xf numFmtId="0" fontId="2" fillId="0" borderId="0" xfId="7" applyFont="1" applyAlignment="1">
      <alignment horizontal="left"/>
    </xf>
    <xf numFmtId="0" fontId="11" fillId="0" borderId="0" xfId="6" applyFont="1" applyAlignment="1">
      <alignment horizontal="left" vertical="center"/>
    </xf>
    <xf numFmtId="0" fontId="11" fillId="0" borderId="0" xfId="6" applyFont="1" applyAlignment="1">
      <alignment horizontal="center" vertical="center"/>
    </xf>
    <xf numFmtId="0" fontId="12" fillId="0" borderId="0" xfId="7" applyFont="1" applyAlignment="1">
      <alignment horizontal="left"/>
    </xf>
    <xf numFmtId="0" fontId="12" fillId="0" borderId="0" xfId="7" applyFont="1" applyAlignment="1">
      <alignment horizontal="center"/>
    </xf>
    <xf numFmtId="0" fontId="12" fillId="0" borderId="0" xfId="6" applyFont="1"/>
    <xf numFmtId="0" fontId="12" fillId="0" borderId="0" xfId="6" applyFont="1" applyAlignment="1">
      <alignment horizontal="center"/>
    </xf>
    <xf numFmtId="0" fontId="12" fillId="0" borderId="0" xfId="6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6" xfId="0" applyFont="1" applyBorder="1">
      <alignment vertical="top"/>
    </xf>
    <xf numFmtId="0" fontId="0" fillId="0" borderId="7" xfId="0" applyFont="1" applyBorder="1" applyAlignment="1">
      <alignment horizontal="center"/>
    </xf>
    <xf numFmtId="0" fontId="0" fillId="0" borderId="8" xfId="0" applyFont="1" applyBorder="1">
      <alignment vertical="top"/>
    </xf>
    <xf numFmtId="0" fontId="14" fillId="0" borderId="0" xfId="5" applyNumberFormat="1" applyFont="1" applyFill="1" applyBorder="1" applyAlignment="1" applyProtection="1">
      <alignment horizontal="left"/>
    </xf>
    <xf numFmtId="0" fontId="0" fillId="0" borderId="9" xfId="0" applyFont="1" applyBorder="1" applyAlignment="1">
      <alignment horizontal="center"/>
    </xf>
    <xf numFmtId="0" fontId="0" fillId="0" borderId="10" xfId="0" applyFont="1" applyBorder="1">
      <alignment vertical="top"/>
    </xf>
    <xf numFmtId="0" fontId="2" fillId="2" borderId="11" xfId="0" applyFont="1" applyFill="1" applyBorder="1" applyAlignment="1">
      <alignment horizontal="left" vertical="top" wrapText="1" indent="1"/>
    </xf>
    <xf numFmtId="0" fontId="2" fillId="2" borderId="1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right" vertical="top" wrapText="1"/>
    </xf>
    <xf numFmtId="0" fontId="14" fillId="2" borderId="11" xfId="5" applyNumberFormat="1" applyFont="1" applyFill="1" applyBorder="1" applyAlignment="1" applyProtection="1">
      <alignment horizontal="right" vertical="top" wrapText="1"/>
    </xf>
    <xf numFmtId="170" fontId="0" fillId="0" borderId="0" xfId="0" applyNumberFormat="1" applyAlignment="1"/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71" fontId="16" fillId="0" borderId="0" xfId="0" applyNumberFormat="1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HX UMa - O-C Diagr.</a:t>
            </a:r>
          </a:p>
        </c:rich>
      </c:tx>
      <c:layout>
        <c:manualLayout>
          <c:xMode val="edge"/>
          <c:yMode val="edge"/>
          <c:x val="0.36348983840670962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47346516674543"/>
          <c:y val="0.234375"/>
          <c:w val="0.79159997822847639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Active!$F$21:$F$42</c:f>
              <c:numCache>
                <c:formatCode>General</c:formatCode>
                <c:ptCount val="22"/>
                <c:pt idx="0">
                  <c:v>-12019</c:v>
                </c:pt>
                <c:pt idx="1">
                  <c:v>-3818</c:v>
                </c:pt>
                <c:pt idx="2">
                  <c:v>-3770.5</c:v>
                </c:pt>
                <c:pt idx="3">
                  <c:v>-2877.5</c:v>
                </c:pt>
                <c:pt idx="4">
                  <c:v>-2872</c:v>
                </c:pt>
                <c:pt idx="5">
                  <c:v>-2872</c:v>
                </c:pt>
                <c:pt idx="6">
                  <c:v>-65</c:v>
                </c:pt>
                <c:pt idx="7">
                  <c:v>0</c:v>
                </c:pt>
                <c:pt idx="8">
                  <c:v>2063</c:v>
                </c:pt>
                <c:pt idx="9">
                  <c:v>3043.5</c:v>
                </c:pt>
                <c:pt idx="10">
                  <c:v>3976.5</c:v>
                </c:pt>
                <c:pt idx="11">
                  <c:v>4071</c:v>
                </c:pt>
                <c:pt idx="12">
                  <c:v>7696</c:v>
                </c:pt>
                <c:pt idx="13">
                  <c:v>7696.5</c:v>
                </c:pt>
                <c:pt idx="14">
                  <c:v>7796</c:v>
                </c:pt>
                <c:pt idx="15">
                  <c:v>9616</c:v>
                </c:pt>
                <c:pt idx="16">
                  <c:v>9616</c:v>
                </c:pt>
                <c:pt idx="17">
                  <c:v>9616</c:v>
                </c:pt>
                <c:pt idx="18">
                  <c:v>10634</c:v>
                </c:pt>
                <c:pt idx="19">
                  <c:v>10517</c:v>
                </c:pt>
                <c:pt idx="20">
                  <c:v>11658.5</c:v>
                </c:pt>
                <c:pt idx="21">
                  <c:v>12457</c:v>
                </c:pt>
              </c:numCache>
            </c:numRef>
          </c:xVal>
          <c:yVal>
            <c:numRef>
              <c:f>Active!$H$21:$H$42</c:f>
              <c:numCache>
                <c:formatCode>General</c:formatCode>
                <c:ptCount val="22"/>
                <c:pt idx="0">
                  <c:v>-1.1018910008715466E-3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38-41A1-85FC-E70BDD02EE0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Active!$F$21:$F$42</c:f>
              <c:numCache>
                <c:formatCode>General</c:formatCode>
                <c:ptCount val="22"/>
                <c:pt idx="0">
                  <c:v>-12019</c:v>
                </c:pt>
                <c:pt idx="1">
                  <c:v>-3818</c:v>
                </c:pt>
                <c:pt idx="2">
                  <c:v>-3770.5</c:v>
                </c:pt>
                <c:pt idx="3">
                  <c:v>-2877.5</c:v>
                </c:pt>
                <c:pt idx="4">
                  <c:v>-2872</c:v>
                </c:pt>
                <c:pt idx="5">
                  <c:v>-2872</c:v>
                </c:pt>
                <c:pt idx="6">
                  <c:v>-65</c:v>
                </c:pt>
                <c:pt idx="7">
                  <c:v>0</c:v>
                </c:pt>
                <c:pt idx="8">
                  <c:v>2063</c:v>
                </c:pt>
                <c:pt idx="9">
                  <c:v>3043.5</c:v>
                </c:pt>
                <c:pt idx="10">
                  <c:v>3976.5</c:v>
                </c:pt>
                <c:pt idx="11">
                  <c:v>4071</c:v>
                </c:pt>
                <c:pt idx="12">
                  <c:v>7696</c:v>
                </c:pt>
                <c:pt idx="13">
                  <c:v>7696.5</c:v>
                </c:pt>
                <c:pt idx="14">
                  <c:v>7796</c:v>
                </c:pt>
                <c:pt idx="15">
                  <c:v>9616</c:v>
                </c:pt>
                <c:pt idx="16">
                  <c:v>9616</c:v>
                </c:pt>
                <c:pt idx="17">
                  <c:v>9616</c:v>
                </c:pt>
                <c:pt idx="18">
                  <c:v>10634</c:v>
                </c:pt>
                <c:pt idx="19">
                  <c:v>10517</c:v>
                </c:pt>
                <c:pt idx="20">
                  <c:v>11658.5</c:v>
                </c:pt>
                <c:pt idx="21">
                  <c:v>12457</c:v>
                </c:pt>
              </c:numCache>
            </c:numRef>
          </c:xVal>
          <c:yVal>
            <c:numRef>
              <c:f>Active!$I$21:$I$42</c:f>
              <c:numCache>
                <c:formatCode>General</c:formatCode>
                <c:ptCount val="22"/>
                <c:pt idx="1">
                  <c:v>-2.1682020014850423E-3</c:v>
                </c:pt>
                <c:pt idx="2">
                  <c:v>-4.8834745030035265E-3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38-41A1-85FC-E70BDD02EE00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Active!$F$21:$F$42</c:f>
              <c:numCache>
                <c:formatCode>General</c:formatCode>
                <c:ptCount val="22"/>
                <c:pt idx="0">
                  <c:v>-12019</c:v>
                </c:pt>
                <c:pt idx="1">
                  <c:v>-3818</c:v>
                </c:pt>
                <c:pt idx="2">
                  <c:v>-3770.5</c:v>
                </c:pt>
                <c:pt idx="3">
                  <c:v>-2877.5</c:v>
                </c:pt>
                <c:pt idx="4">
                  <c:v>-2872</c:v>
                </c:pt>
                <c:pt idx="5">
                  <c:v>-2872</c:v>
                </c:pt>
                <c:pt idx="6">
                  <c:v>-65</c:v>
                </c:pt>
                <c:pt idx="7">
                  <c:v>0</c:v>
                </c:pt>
                <c:pt idx="8">
                  <c:v>2063</c:v>
                </c:pt>
                <c:pt idx="9">
                  <c:v>3043.5</c:v>
                </c:pt>
                <c:pt idx="10">
                  <c:v>3976.5</c:v>
                </c:pt>
                <c:pt idx="11">
                  <c:v>4071</c:v>
                </c:pt>
                <c:pt idx="12">
                  <c:v>7696</c:v>
                </c:pt>
                <c:pt idx="13">
                  <c:v>7696.5</c:v>
                </c:pt>
                <c:pt idx="14">
                  <c:v>7796</c:v>
                </c:pt>
                <c:pt idx="15">
                  <c:v>9616</c:v>
                </c:pt>
                <c:pt idx="16">
                  <c:v>9616</c:v>
                </c:pt>
                <c:pt idx="17">
                  <c:v>9616</c:v>
                </c:pt>
                <c:pt idx="18">
                  <c:v>10634</c:v>
                </c:pt>
                <c:pt idx="19">
                  <c:v>10517</c:v>
                </c:pt>
                <c:pt idx="20">
                  <c:v>11658.5</c:v>
                </c:pt>
                <c:pt idx="21">
                  <c:v>12457</c:v>
                </c:pt>
              </c:numCache>
            </c:numRef>
          </c:xVal>
          <c:yVal>
            <c:numRef>
              <c:f>Active!$J$21:$J$42</c:f>
              <c:numCache>
                <c:formatCode>General</c:formatCode>
                <c:ptCount val="22"/>
                <c:pt idx="3">
                  <c:v>-5.0905975003843196E-3</c:v>
                </c:pt>
                <c:pt idx="4">
                  <c:v>-7.04920800490072E-3</c:v>
                </c:pt>
                <c:pt idx="5">
                  <c:v>-7.04920800490072E-3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38-41A1-85FC-E70BDD02EE00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Active!$F$21:$F$42</c:f>
              <c:numCache>
                <c:formatCode>General</c:formatCode>
                <c:ptCount val="22"/>
                <c:pt idx="0">
                  <c:v>-12019</c:v>
                </c:pt>
                <c:pt idx="1">
                  <c:v>-3818</c:v>
                </c:pt>
                <c:pt idx="2">
                  <c:v>-3770.5</c:v>
                </c:pt>
                <c:pt idx="3">
                  <c:v>-2877.5</c:v>
                </c:pt>
                <c:pt idx="4">
                  <c:v>-2872</c:v>
                </c:pt>
                <c:pt idx="5">
                  <c:v>-2872</c:v>
                </c:pt>
                <c:pt idx="6">
                  <c:v>-65</c:v>
                </c:pt>
                <c:pt idx="7">
                  <c:v>0</c:v>
                </c:pt>
                <c:pt idx="8">
                  <c:v>2063</c:v>
                </c:pt>
                <c:pt idx="9">
                  <c:v>3043.5</c:v>
                </c:pt>
                <c:pt idx="10">
                  <c:v>3976.5</c:v>
                </c:pt>
                <c:pt idx="11">
                  <c:v>4071</c:v>
                </c:pt>
                <c:pt idx="12">
                  <c:v>7696</c:v>
                </c:pt>
                <c:pt idx="13">
                  <c:v>7696.5</c:v>
                </c:pt>
                <c:pt idx="14">
                  <c:v>7796</c:v>
                </c:pt>
                <c:pt idx="15">
                  <c:v>9616</c:v>
                </c:pt>
                <c:pt idx="16">
                  <c:v>9616</c:v>
                </c:pt>
                <c:pt idx="17">
                  <c:v>9616</c:v>
                </c:pt>
                <c:pt idx="18">
                  <c:v>10634</c:v>
                </c:pt>
                <c:pt idx="19">
                  <c:v>10517</c:v>
                </c:pt>
                <c:pt idx="20">
                  <c:v>11658.5</c:v>
                </c:pt>
                <c:pt idx="21">
                  <c:v>12457</c:v>
                </c:pt>
              </c:numCache>
            </c:numRef>
          </c:xVal>
          <c:yVal>
            <c:numRef>
              <c:f>Active!$K$21:$K$42</c:f>
              <c:numCache>
                <c:formatCode>General</c:formatCode>
                <c:ptCount val="22"/>
                <c:pt idx="6">
                  <c:v>-1.5527850046055391E-3</c:v>
                </c:pt>
                <c:pt idx="7">
                  <c:v>0</c:v>
                </c:pt>
                <c:pt idx="8">
                  <c:v>3.1430070011992939E-3</c:v>
                </c:pt>
                <c:pt idx="9">
                  <c:v>1.2976171499758493E-2</c:v>
                </c:pt>
                <c:pt idx="10">
                  <c:v>5.2246084960643202E-3</c:v>
                </c:pt>
                <c:pt idx="11">
                  <c:v>6.0721189947798848E-3</c:v>
                </c:pt>
                <c:pt idx="12">
                  <c:v>-4.5302560029085726E-3</c:v>
                </c:pt>
                <c:pt idx="13">
                  <c:v>-2.8083115030312911E-3</c:v>
                </c:pt>
                <c:pt idx="14">
                  <c:v>-2.2713560028932989E-3</c:v>
                </c:pt>
                <c:pt idx="15">
                  <c:v>-5.6633760032127611E-3</c:v>
                </c:pt>
                <c:pt idx="16">
                  <c:v>-5.563375998463016E-3</c:v>
                </c:pt>
                <c:pt idx="17">
                  <c:v>-4.9133760039694607E-3</c:v>
                </c:pt>
                <c:pt idx="18">
                  <c:v>-2.6943740012939088E-3</c:v>
                </c:pt>
                <c:pt idx="19">
                  <c:v>-3.4193870014860295E-3</c:v>
                </c:pt>
                <c:pt idx="20">
                  <c:v>-4.2200935058644973E-3</c:v>
                </c:pt>
                <c:pt idx="21">
                  <c:v>-5.5847268158686347E-3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38-41A1-85FC-E70BDD02EE00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Active!$F$21:$F$42</c:f>
              <c:numCache>
                <c:formatCode>General</c:formatCode>
                <c:ptCount val="22"/>
                <c:pt idx="0">
                  <c:v>-12019</c:v>
                </c:pt>
                <c:pt idx="1">
                  <c:v>-3818</c:v>
                </c:pt>
                <c:pt idx="2">
                  <c:v>-3770.5</c:v>
                </c:pt>
                <c:pt idx="3">
                  <c:v>-2877.5</c:v>
                </c:pt>
                <c:pt idx="4">
                  <c:v>-2872</c:v>
                </c:pt>
                <c:pt idx="5">
                  <c:v>-2872</c:v>
                </c:pt>
                <c:pt idx="6">
                  <c:v>-65</c:v>
                </c:pt>
                <c:pt idx="7">
                  <c:v>0</c:v>
                </c:pt>
                <c:pt idx="8">
                  <c:v>2063</c:v>
                </c:pt>
                <c:pt idx="9">
                  <c:v>3043.5</c:v>
                </c:pt>
                <c:pt idx="10">
                  <c:v>3976.5</c:v>
                </c:pt>
                <c:pt idx="11">
                  <c:v>4071</c:v>
                </c:pt>
                <c:pt idx="12">
                  <c:v>7696</c:v>
                </c:pt>
                <c:pt idx="13">
                  <c:v>7696.5</c:v>
                </c:pt>
                <c:pt idx="14">
                  <c:v>7796</c:v>
                </c:pt>
                <c:pt idx="15">
                  <c:v>9616</c:v>
                </c:pt>
                <c:pt idx="16">
                  <c:v>9616</c:v>
                </c:pt>
                <c:pt idx="17">
                  <c:v>9616</c:v>
                </c:pt>
                <c:pt idx="18">
                  <c:v>10634</c:v>
                </c:pt>
                <c:pt idx="19">
                  <c:v>10517</c:v>
                </c:pt>
                <c:pt idx="20">
                  <c:v>11658.5</c:v>
                </c:pt>
                <c:pt idx="21">
                  <c:v>12457</c:v>
                </c:pt>
              </c:numCache>
            </c:numRef>
          </c:xVal>
          <c:yVal>
            <c:numRef>
              <c:f>Active!$L$21:$L$42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38-41A1-85FC-E70BDD02EE0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Active!$F$21:$F$42</c:f>
              <c:numCache>
                <c:formatCode>General</c:formatCode>
                <c:ptCount val="22"/>
                <c:pt idx="0">
                  <c:v>-12019</c:v>
                </c:pt>
                <c:pt idx="1">
                  <c:v>-3818</c:v>
                </c:pt>
                <c:pt idx="2">
                  <c:v>-3770.5</c:v>
                </c:pt>
                <c:pt idx="3">
                  <c:v>-2877.5</c:v>
                </c:pt>
                <c:pt idx="4">
                  <c:v>-2872</c:v>
                </c:pt>
                <c:pt idx="5">
                  <c:v>-2872</c:v>
                </c:pt>
                <c:pt idx="6">
                  <c:v>-65</c:v>
                </c:pt>
                <c:pt idx="7">
                  <c:v>0</c:v>
                </c:pt>
                <c:pt idx="8">
                  <c:v>2063</c:v>
                </c:pt>
                <c:pt idx="9">
                  <c:v>3043.5</c:v>
                </c:pt>
                <c:pt idx="10">
                  <c:v>3976.5</c:v>
                </c:pt>
                <c:pt idx="11">
                  <c:v>4071</c:v>
                </c:pt>
                <c:pt idx="12">
                  <c:v>7696</c:v>
                </c:pt>
                <c:pt idx="13">
                  <c:v>7696.5</c:v>
                </c:pt>
                <c:pt idx="14">
                  <c:v>7796</c:v>
                </c:pt>
                <c:pt idx="15">
                  <c:v>9616</c:v>
                </c:pt>
                <c:pt idx="16">
                  <c:v>9616</c:v>
                </c:pt>
                <c:pt idx="17">
                  <c:v>9616</c:v>
                </c:pt>
                <c:pt idx="18">
                  <c:v>10634</c:v>
                </c:pt>
                <c:pt idx="19">
                  <c:v>10517</c:v>
                </c:pt>
                <c:pt idx="20">
                  <c:v>11658.5</c:v>
                </c:pt>
                <c:pt idx="21">
                  <c:v>12457</c:v>
                </c:pt>
              </c:numCache>
            </c:numRef>
          </c:xVal>
          <c:yVal>
            <c:numRef>
              <c:f>Active!$M$21:$M$42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38-41A1-85FC-E70BDD02EE0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Active!$F$21:$F$42</c:f>
              <c:numCache>
                <c:formatCode>General</c:formatCode>
                <c:ptCount val="22"/>
                <c:pt idx="0">
                  <c:v>-12019</c:v>
                </c:pt>
                <c:pt idx="1">
                  <c:v>-3818</c:v>
                </c:pt>
                <c:pt idx="2">
                  <c:v>-3770.5</c:v>
                </c:pt>
                <c:pt idx="3">
                  <c:v>-2877.5</c:v>
                </c:pt>
                <c:pt idx="4">
                  <c:v>-2872</c:v>
                </c:pt>
                <c:pt idx="5">
                  <c:v>-2872</c:v>
                </c:pt>
                <c:pt idx="6">
                  <c:v>-65</c:v>
                </c:pt>
                <c:pt idx="7">
                  <c:v>0</c:v>
                </c:pt>
                <c:pt idx="8">
                  <c:v>2063</c:v>
                </c:pt>
                <c:pt idx="9">
                  <c:v>3043.5</c:v>
                </c:pt>
                <c:pt idx="10">
                  <c:v>3976.5</c:v>
                </c:pt>
                <c:pt idx="11">
                  <c:v>4071</c:v>
                </c:pt>
                <c:pt idx="12">
                  <c:v>7696</c:v>
                </c:pt>
                <c:pt idx="13">
                  <c:v>7696.5</c:v>
                </c:pt>
                <c:pt idx="14">
                  <c:v>7796</c:v>
                </c:pt>
                <c:pt idx="15">
                  <c:v>9616</c:v>
                </c:pt>
                <c:pt idx="16">
                  <c:v>9616</c:v>
                </c:pt>
                <c:pt idx="17">
                  <c:v>9616</c:v>
                </c:pt>
                <c:pt idx="18">
                  <c:v>10634</c:v>
                </c:pt>
                <c:pt idx="19">
                  <c:v>10517</c:v>
                </c:pt>
                <c:pt idx="20">
                  <c:v>11658.5</c:v>
                </c:pt>
                <c:pt idx="21">
                  <c:v>12457</c:v>
                </c:pt>
              </c:numCache>
            </c:numRef>
          </c:xVal>
          <c:yVal>
            <c:numRef>
              <c:f>Active!$N$21:$N$42</c:f>
              <c:numCache>
                <c:formatCode>General</c:formatCode>
                <c:ptCount val="2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38-41A1-85FC-E70BDD02EE0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Active!$F$21:$F$42</c:f>
              <c:numCache>
                <c:formatCode>General</c:formatCode>
                <c:ptCount val="22"/>
                <c:pt idx="0">
                  <c:v>-12019</c:v>
                </c:pt>
                <c:pt idx="1">
                  <c:v>-3818</c:v>
                </c:pt>
                <c:pt idx="2">
                  <c:v>-3770.5</c:v>
                </c:pt>
                <c:pt idx="3">
                  <c:v>-2877.5</c:v>
                </c:pt>
                <c:pt idx="4">
                  <c:v>-2872</c:v>
                </c:pt>
                <c:pt idx="5">
                  <c:v>-2872</c:v>
                </c:pt>
                <c:pt idx="6">
                  <c:v>-65</c:v>
                </c:pt>
                <c:pt idx="7">
                  <c:v>0</c:v>
                </c:pt>
                <c:pt idx="8">
                  <c:v>2063</c:v>
                </c:pt>
                <c:pt idx="9">
                  <c:v>3043.5</c:v>
                </c:pt>
                <c:pt idx="10">
                  <c:v>3976.5</c:v>
                </c:pt>
                <c:pt idx="11">
                  <c:v>4071</c:v>
                </c:pt>
                <c:pt idx="12">
                  <c:v>7696</c:v>
                </c:pt>
                <c:pt idx="13">
                  <c:v>7696.5</c:v>
                </c:pt>
                <c:pt idx="14">
                  <c:v>7796</c:v>
                </c:pt>
                <c:pt idx="15">
                  <c:v>9616</c:v>
                </c:pt>
                <c:pt idx="16">
                  <c:v>9616</c:v>
                </c:pt>
                <c:pt idx="17">
                  <c:v>9616</c:v>
                </c:pt>
                <c:pt idx="18">
                  <c:v>10634</c:v>
                </c:pt>
                <c:pt idx="19">
                  <c:v>10517</c:v>
                </c:pt>
                <c:pt idx="20">
                  <c:v>11658.5</c:v>
                </c:pt>
                <c:pt idx="21">
                  <c:v>12457</c:v>
                </c:pt>
              </c:numCache>
            </c:numRef>
          </c:xVal>
          <c:yVal>
            <c:numRef>
              <c:f>Active!$O$21:$O$42</c:f>
              <c:numCache>
                <c:formatCode>General</c:formatCode>
                <c:ptCount val="22"/>
                <c:pt idx="0">
                  <c:v>1.3336038620497866E-2</c:v>
                </c:pt>
                <c:pt idx="1">
                  <c:v>7.0133546106763717E-3</c:v>
                </c:pt>
                <c:pt idx="2">
                  <c:v>6.9767337729167659E-3</c:v>
                </c:pt>
                <c:pt idx="3">
                  <c:v>6.2882620230361912E-3</c:v>
                </c:pt>
                <c:pt idx="4">
                  <c:v>6.2840217155061317E-3</c:v>
                </c:pt>
                <c:pt idx="5">
                  <c:v>6.2840217155061317E-3</c:v>
                </c:pt>
                <c:pt idx="6">
                  <c:v>4.1199229451648394E-3</c:v>
                </c:pt>
                <c:pt idx="7">
                  <c:v>4.0698102198095908E-3</c:v>
                </c:pt>
                <c:pt idx="8">
                  <c:v>2.4793094135345337E-3</c:v>
                </c:pt>
                <c:pt idx="9">
                  <c:v>1.7233782256757387E-3</c:v>
                </c:pt>
                <c:pt idx="10">
                  <c:v>1.0040678755765492E-3</c:v>
                </c:pt>
                <c:pt idx="11">
                  <c:v>9.3121168256007176E-4</c:v>
                </c:pt>
                <c:pt idx="12">
                  <c:v>-1.8635364622518929E-3</c:v>
                </c:pt>
                <c:pt idx="13">
                  <c:v>-1.8639219447546254E-3</c:v>
                </c:pt>
                <c:pt idx="14">
                  <c:v>-1.9406329627984298E-3</c:v>
                </c:pt>
                <c:pt idx="15">
                  <c:v>-3.3437892727454016E-3</c:v>
                </c:pt>
                <c:pt idx="16">
                  <c:v>-3.3437892727454016E-3</c:v>
                </c:pt>
                <c:pt idx="17">
                  <c:v>-3.3437892727454016E-3</c:v>
                </c:pt>
                <c:pt idx="18">
                  <c:v>-4.1286316483091483E-3</c:v>
                </c:pt>
                <c:pt idx="19">
                  <c:v>-4.0384287426697002E-3</c:v>
                </c:pt>
                <c:pt idx="20">
                  <c:v>-4.9184852964084189E-3</c:v>
                </c:pt>
                <c:pt idx="21">
                  <c:v>-5.534100853272517E-3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38-41A1-85FC-E70BDD02E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897576"/>
        <c:axId val="1"/>
      </c:scatterChart>
      <c:valAx>
        <c:axId val="934897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9420028069996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11793214862679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89757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547674472839521"/>
          <c:y val="0.91249999999999998"/>
          <c:w val="0.66074364290893373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16</xdr:col>
      <xdr:colOff>342900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7669223-F531-2ED7-77C7-C5AB004389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95" TargetMode="External"/><Relationship Id="rId3" Type="http://schemas.openxmlformats.org/officeDocument/2006/relationships/hyperlink" Target="http://www.konkoly.hu/cgi-bin/IBVS?5835" TargetMode="External"/><Relationship Id="rId7" Type="http://schemas.openxmlformats.org/officeDocument/2006/relationships/hyperlink" Target="http://www.konkoly.hu/cgi-bin/IBVS?6095" TargetMode="External"/><Relationship Id="rId2" Type="http://schemas.openxmlformats.org/officeDocument/2006/relationships/hyperlink" Target="http://www.konkoly.hu/cgi-bin/IBVS?5592" TargetMode="External"/><Relationship Id="rId1" Type="http://schemas.openxmlformats.org/officeDocument/2006/relationships/hyperlink" Target="http://www.konkoly.hu/cgi-bin/IBVS?5603" TargetMode="External"/><Relationship Id="rId6" Type="http://schemas.openxmlformats.org/officeDocument/2006/relationships/hyperlink" Target="http://vsolj.cetus-net.org/no48.pdf" TargetMode="External"/><Relationship Id="rId5" Type="http://schemas.openxmlformats.org/officeDocument/2006/relationships/hyperlink" Target="http://vsolj.cetus-net.org/no48.pdf" TargetMode="External"/><Relationship Id="rId4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abSelected="1" workbookViewId="0">
      <pane xSplit="13" ySplit="22" topLeftCell="N29" activePane="bottomRight" state="frozen"/>
      <selection pane="topRight" activeCell="N1" sqref="N1"/>
      <selection pane="bottomLeft" activeCell="A23" sqref="A23"/>
      <selection pane="bottomRight" activeCell="F13" sqref="F13"/>
    </sheetView>
  </sheetViews>
  <sheetFormatPr defaultColWidth="10.28515625" defaultRowHeight="12.75"/>
  <cols>
    <col min="1" max="1" width="21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2" t="s">
        <v>0</v>
      </c>
    </row>
    <row r="2" spans="1:6">
      <c r="A2" s="1" t="s">
        <v>1</v>
      </c>
      <c r="B2" s="3" t="s">
        <v>2</v>
      </c>
    </row>
    <row r="4" spans="1:6">
      <c r="A4" s="4" t="s">
        <v>3</v>
      </c>
      <c r="C4" s="5" t="s">
        <v>4</v>
      </c>
      <c r="D4" s="6" t="s">
        <v>4</v>
      </c>
    </row>
    <row r="5" spans="1:6">
      <c r="A5" s="7" t="s">
        <v>5</v>
      </c>
      <c r="B5"/>
      <c r="C5" s="8">
        <v>-9.5</v>
      </c>
      <c r="D5" t="s">
        <v>6</v>
      </c>
    </row>
    <row r="6" spans="1:6">
      <c r="A6" s="4" t="s">
        <v>7</v>
      </c>
    </row>
    <row r="7" spans="1:6">
      <c r="A7" s="1" t="s">
        <v>8</v>
      </c>
      <c r="C7" s="9">
        <v>53057.450400000002</v>
      </c>
    </row>
    <row r="8" spans="1:6">
      <c r="A8" s="1" t="s">
        <v>9</v>
      </c>
      <c r="C8" s="10">
        <v>0.37915611100000002</v>
      </c>
      <c r="D8" s="11" t="s">
        <v>10</v>
      </c>
    </row>
    <row r="9" spans="1:6">
      <c r="A9" s="12" t="s">
        <v>11</v>
      </c>
      <c r="B9" s="13">
        <v>32</v>
      </c>
      <c r="C9" s="14" t="str">
        <f>"F"&amp;B9</f>
        <v>F32</v>
      </c>
      <c r="D9" s="15" t="str">
        <f>"G"&amp;B9</f>
        <v>G32</v>
      </c>
    </row>
    <row r="10" spans="1:6">
      <c r="A10"/>
      <c r="B10"/>
      <c r="C10" s="16" t="s">
        <v>12</v>
      </c>
      <c r="D10" s="16" t="s">
        <v>13</v>
      </c>
      <c r="E10"/>
    </row>
    <row r="11" spans="1:6">
      <c r="A11" t="s">
        <v>14</v>
      </c>
      <c r="B11"/>
      <c r="C11" s="17">
        <f ca="1">INTERCEPT(INDIRECT($D$9):G992,INDIRECT($C$9):F992)</f>
        <v>4.0698102198095908E-3</v>
      </c>
      <c r="D11" s="18"/>
      <c r="E11"/>
    </row>
    <row r="12" spans="1:6">
      <c r="A12" t="s">
        <v>15</v>
      </c>
      <c r="B12"/>
      <c r="C12" s="17">
        <f ca="1">SLOPE(INDIRECT($D$9):G992,INDIRECT($C$9):F992)</f>
        <v>-7.7096500546536944E-7</v>
      </c>
      <c r="D12" s="18"/>
      <c r="E12"/>
    </row>
    <row r="13" spans="1:6">
      <c r="A13" t="s">
        <v>16</v>
      </c>
      <c r="B13"/>
      <c r="C13" s="18" t="s">
        <v>17</v>
      </c>
    </row>
    <row r="14" spans="1:6">
      <c r="A14"/>
      <c r="B14"/>
      <c r="C14"/>
    </row>
    <row r="15" spans="1:6">
      <c r="A15" s="19" t="s">
        <v>18</v>
      </c>
      <c r="B15"/>
      <c r="C15" s="20">
        <f ca="1">(C7+C11)+(C8+C12)*INT(MAX(F21:F3533))</f>
        <v>59737.41325054675</v>
      </c>
      <c r="E15" s="21" t="s">
        <v>19</v>
      </c>
      <c r="F15" s="8">
        <v>1</v>
      </c>
    </row>
    <row r="16" spans="1:6">
      <c r="A16" s="19" t="s">
        <v>20</v>
      </c>
      <c r="B16"/>
      <c r="C16" s="20">
        <f ca="1">+C8+C12</f>
        <v>0.37915534003499457</v>
      </c>
      <c r="E16" s="21" t="s">
        <v>21</v>
      </c>
      <c r="F16" s="17">
        <f ca="1">NOW()+15018.5+$C$5/24</f>
        <v>59969.753794212964</v>
      </c>
    </row>
    <row r="17" spans="1:17">
      <c r="A17" s="21" t="s">
        <v>22</v>
      </c>
      <c r="B17"/>
      <c r="C17">
        <f>COUNT(C21:C2191)</f>
        <v>25</v>
      </c>
      <c r="E17" s="21" t="s">
        <v>23</v>
      </c>
      <c r="F17" s="17">
        <f ca="1">ROUND(2*(F16-$C$7)/$C$8,0)/2+F15</f>
        <v>18232</v>
      </c>
    </row>
    <row r="18" spans="1:17">
      <c r="A18" s="19" t="s">
        <v>24</v>
      </c>
      <c r="B18"/>
      <c r="C18" s="22">
        <f ca="1">+C15</f>
        <v>59737.41325054675</v>
      </c>
      <c r="D18" s="23">
        <f ca="1">+C16</f>
        <v>0.37915534003499457</v>
      </c>
      <c r="E18" s="21" t="s">
        <v>25</v>
      </c>
      <c r="F18" s="15">
        <f ca="1">ROUND(2*(F16-$C$15)/$C$16,0)/2+F15</f>
        <v>614</v>
      </c>
    </row>
    <row r="19" spans="1:17">
      <c r="E19" s="21" t="s">
        <v>26</v>
      </c>
      <c r="F19" s="24">
        <f ca="1">+$C$15+$C$16*F18-15018.5-$C$5/24</f>
        <v>44952.110462661571</v>
      </c>
    </row>
    <row r="20" spans="1:17">
      <c r="A20" s="16" t="s">
        <v>27</v>
      </c>
      <c r="B20" s="16" t="s">
        <v>28</v>
      </c>
      <c r="C20" s="16" t="s">
        <v>29</v>
      </c>
      <c r="D20" s="16" t="s">
        <v>30</v>
      </c>
      <c r="E20" s="16" t="s">
        <v>31</v>
      </c>
      <c r="F20" s="16" t="s">
        <v>32</v>
      </c>
      <c r="G20" s="16" t="s">
        <v>33</v>
      </c>
      <c r="H20" s="25" t="s">
        <v>34</v>
      </c>
      <c r="I20" s="25" t="s">
        <v>35</v>
      </c>
      <c r="J20" s="25" t="s">
        <v>36</v>
      </c>
      <c r="K20" s="25" t="s">
        <v>37</v>
      </c>
      <c r="L20" s="25" t="s">
        <v>38</v>
      </c>
      <c r="M20" s="25" t="s">
        <v>39</v>
      </c>
      <c r="N20" s="25" t="s">
        <v>40</v>
      </c>
      <c r="O20" s="25" t="s">
        <v>41</v>
      </c>
      <c r="P20" s="25" t="s">
        <v>42</v>
      </c>
      <c r="Q20" s="16" t="s">
        <v>43</v>
      </c>
    </row>
    <row r="21" spans="1:17">
      <c r="A21" s="1" t="s">
        <v>44</v>
      </c>
      <c r="C21" s="26">
        <v>48500.372000000003</v>
      </c>
      <c r="D21" s="26" t="s">
        <v>17</v>
      </c>
      <c r="E21" s="1">
        <f t="shared" ref="E21:E38" si="0">+(C21-C$7)/C$8</f>
        <v>-12019.002906167054</v>
      </c>
      <c r="F21" s="1">
        <f t="shared" ref="F21:F41" si="1">ROUND(2*E21,0)/2</f>
        <v>-12019</v>
      </c>
      <c r="H21" s="15">
        <v>-1.1018910008715466E-3</v>
      </c>
      <c r="O21" s="1">
        <f t="shared" ref="O21:O38" ca="1" si="2">+C$11+C$12*F21</f>
        <v>1.3336038620497866E-2</v>
      </c>
      <c r="Q21" s="61">
        <f t="shared" ref="Q21:Q38" si="3">+C21-15018.5</f>
        <v>33481.872000000003</v>
      </c>
    </row>
    <row r="22" spans="1:17">
      <c r="A22" s="1" t="s">
        <v>45</v>
      </c>
      <c r="B22" s="18" t="s">
        <v>46</v>
      </c>
      <c r="C22" s="26">
        <v>51609.830199999997</v>
      </c>
      <c r="D22" s="26">
        <v>6.0000000000000001E-3</v>
      </c>
      <c r="E22" s="1">
        <f t="shared" si="0"/>
        <v>-3818.0057184941556</v>
      </c>
      <c r="F22" s="1">
        <f t="shared" si="1"/>
        <v>-3818</v>
      </c>
      <c r="G22" s="1">
        <f t="shared" ref="G22:G38" si="4">+C22-(C$7+F22*C$8)</f>
        <v>-2.1682020014850423E-3</v>
      </c>
      <c r="I22" s="1">
        <f>+G22</f>
        <v>-2.1682020014850423E-3</v>
      </c>
      <c r="O22" s="1">
        <f t="shared" ca="1" si="2"/>
        <v>7.0133546106763717E-3</v>
      </c>
      <c r="Q22" s="61">
        <f t="shared" si="3"/>
        <v>36591.330199999997</v>
      </c>
    </row>
    <row r="23" spans="1:17">
      <c r="A23" s="1" t="s">
        <v>45</v>
      </c>
      <c r="B23" s="18" t="s">
        <v>47</v>
      </c>
      <c r="C23" s="26">
        <v>51627.837399999997</v>
      </c>
      <c r="D23" s="26">
        <v>6.0000000000000001E-3</v>
      </c>
      <c r="E23" s="1">
        <f t="shared" si="0"/>
        <v>-3770.512879851763</v>
      </c>
      <c r="F23" s="1">
        <f t="shared" si="1"/>
        <v>-3770.5</v>
      </c>
      <c r="G23" s="1">
        <f t="shared" si="4"/>
        <v>-4.8834745030035265E-3</v>
      </c>
      <c r="I23" s="1">
        <f>+G23</f>
        <v>-4.8834745030035265E-3</v>
      </c>
      <c r="O23" s="1">
        <f t="shared" ca="1" si="2"/>
        <v>6.9767337729167659E-3</v>
      </c>
      <c r="Q23" s="61">
        <f t="shared" si="3"/>
        <v>36609.337399999997</v>
      </c>
    </row>
    <row r="24" spans="1:17">
      <c r="A24" s="27" t="s">
        <v>48</v>
      </c>
      <c r="B24" s="18" t="s">
        <v>47</v>
      </c>
      <c r="C24" s="27">
        <v>51966.423600000002</v>
      </c>
      <c r="D24" s="27">
        <v>4.0000000000000002E-4</v>
      </c>
      <c r="E24" s="1">
        <f t="shared" si="0"/>
        <v>-2877.5134261254188</v>
      </c>
      <c r="F24" s="1">
        <f t="shared" si="1"/>
        <v>-2877.5</v>
      </c>
      <c r="G24" s="1">
        <f t="shared" si="4"/>
        <v>-5.0905975003843196E-3</v>
      </c>
      <c r="J24" s="1">
        <f>+G24</f>
        <v>-5.0905975003843196E-3</v>
      </c>
      <c r="O24" s="1">
        <f t="shared" ca="1" si="2"/>
        <v>6.2882620230361912E-3</v>
      </c>
      <c r="Q24" s="61">
        <f t="shared" si="3"/>
        <v>36947.923600000002</v>
      </c>
    </row>
    <row r="25" spans="1:17">
      <c r="A25" s="27" t="s">
        <v>48</v>
      </c>
      <c r="B25" s="18" t="s">
        <v>46</v>
      </c>
      <c r="C25" s="27">
        <v>51968.506999999998</v>
      </c>
      <c r="D25" s="27">
        <v>2.9999999999999997E-4</v>
      </c>
      <c r="E25" s="1">
        <f t="shared" si="0"/>
        <v>-2872.0185918353923</v>
      </c>
      <c r="F25" s="1">
        <f t="shared" si="1"/>
        <v>-2872</v>
      </c>
      <c r="G25" s="1">
        <f t="shared" si="4"/>
        <v>-7.04920800490072E-3</v>
      </c>
      <c r="J25" s="1">
        <f>+G25</f>
        <v>-7.04920800490072E-3</v>
      </c>
      <c r="O25" s="1">
        <f t="shared" ca="1" si="2"/>
        <v>6.2840217155061317E-3</v>
      </c>
      <c r="Q25" s="61">
        <f t="shared" si="3"/>
        <v>36950.006999999998</v>
      </c>
    </row>
    <row r="26" spans="1:17">
      <c r="A26" s="28" t="s">
        <v>48</v>
      </c>
      <c r="B26" s="29" t="s">
        <v>46</v>
      </c>
      <c r="C26" s="28">
        <v>51968.506999999998</v>
      </c>
      <c r="D26" s="28">
        <v>2.9999999999999997E-4</v>
      </c>
      <c r="E26" s="1">
        <f t="shared" si="0"/>
        <v>-2872.0185918353923</v>
      </c>
      <c r="F26" s="1">
        <f t="shared" si="1"/>
        <v>-2872</v>
      </c>
      <c r="G26" s="1">
        <f t="shared" si="4"/>
        <v>-7.04920800490072E-3</v>
      </c>
      <c r="J26" s="1">
        <f>+G26</f>
        <v>-7.04920800490072E-3</v>
      </c>
      <c r="O26" s="1">
        <f t="shared" ca="1" si="2"/>
        <v>6.2840217155061317E-3</v>
      </c>
      <c r="Q26" s="61">
        <f t="shared" si="3"/>
        <v>36950.006999999998</v>
      </c>
    </row>
    <row r="27" spans="1:17">
      <c r="A27" s="30" t="s">
        <v>49</v>
      </c>
      <c r="B27" s="31" t="s">
        <v>46</v>
      </c>
      <c r="C27" s="28">
        <v>53032.803699999997</v>
      </c>
      <c r="D27" s="28">
        <v>4.0000000000000002E-4</v>
      </c>
      <c r="E27" s="1">
        <f t="shared" si="0"/>
        <v>-65.004095371167011</v>
      </c>
      <c r="F27" s="1">
        <f t="shared" si="1"/>
        <v>-65</v>
      </c>
      <c r="G27" s="1">
        <f t="shared" si="4"/>
        <v>-1.5527850046055391E-3</v>
      </c>
      <c r="K27" s="1">
        <f t="shared" ref="K27:K32" si="5">+G27</f>
        <v>-1.5527850046055391E-3</v>
      </c>
      <c r="O27" s="1">
        <f t="shared" ca="1" si="2"/>
        <v>4.1199229451648394E-3</v>
      </c>
      <c r="Q27" s="61">
        <f t="shared" si="3"/>
        <v>38014.303699999997</v>
      </c>
    </row>
    <row r="28" spans="1:17">
      <c r="A28" s="30" t="s">
        <v>50</v>
      </c>
      <c r="B28" s="29" t="s">
        <v>46</v>
      </c>
      <c r="C28" s="32">
        <v>53057.450400000002</v>
      </c>
      <c r="D28" s="32">
        <v>6.0000000000000001E-3</v>
      </c>
      <c r="E28" s="1">
        <f t="shared" si="0"/>
        <v>0</v>
      </c>
      <c r="F28" s="1">
        <f t="shared" si="1"/>
        <v>0</v>
      </c>
      <c r="G28" s="1">
        <f t="shared" si="4"/>
        <v>0</v>
      </c>
      <c r="K28" s="1">
        <f t="shared" si="5"/>
        <v>0</v>
      </c>
      <c r="O28" s="1">
        <f t="shared" ca="1" si="2"/>
        <v>4.0698102198095908E-3</v>
      </c>
      <c r="Q28" s="61">
        <f t="shared" si="3"/>
        <v>38038.950400000002</v>
      </c>
    </row>
    <row r="29" spans="1:17">
      <c r="A29" s="33" t="s">
        <v>51</v>
      </c>
      <c r="B29" s="29" t="s">
        <v>46</v>
      </c>
      <c r="C29" s="28">
        <v>53839.652600000001</v>
      </c>
      <c r="D29" s="28">
        <v>2.0000000000000001E-4</v>
      </c>
      <c r="E29" s="1">
        <f t="shared" si="0"/>
        <v>2063.0082894800016</v>
      </c>
      <c r="F29" s="1">
        <f t="shared" si="1"/>
        <v>2063</v>
      </c>
      <c r="G29" s="1">
        <f t="shared" si="4"/>
        <v>3.1430070011992939E-3</v>
      </c>
      <c r="K29" s="1">
        <f t="shared" si="5"/>
        <v>3.1430070011992939E-3</v>
      </c>
      <c r="O29" s="1">
        <f t="shared" ca="1" si="2"/>
        <v>2.4793094135345337E-3</v>
      </c>
      <c r="Q29" s="61">
        <f t="shared" si="3"/>
        <v>38821.152600000001</v>
      </c>
    </row>
    <row r="30" spans="1:17">
      <c r="A30" s="30" t="s">
        <v>52</v>
      </c>
      <c r="B30" s="34" t="s">
        <v>47</v>
      </c>
      <c r="C30" s="30">
        <v>54211.425000000003</v>
      </c>
      <c r="D30" s="30">
        <v>2E-3</v>
      </c>
      <c r="E30" s="1">
        <f t="shared" si="0"/>
        <v>3043.5342238226549</v>
      </c>
      <c r="F30" s="1">
        <f t="shared" si="1"/>
        <v>3043.5</v>
      </c>
      <c r="G30" s="1">
        <f t="shared" si="4"/>
        <v>1.2976171499758493E-2</v>
      </c>
      <c r="K30" s="1">
        <f t="shared" si="5"/>
        <v>1.2976171499758493E-2</v>
      </c>
      <c r="O30" s="1">
        <f t="shared" ca="1" si="2"/>
        <v>1.7233782256757387E-3</v>
      </c>
      <c r="Q30" s="61">
        <f t="shared" si="3"/>
        <v>39192.925000000003</v>
      </c>
    </row>
    <row r="31" spans="1:17">
      <c r="A31" s="35" t="s">
        <v>53</v>
      </c>
      <c r="B31" s="36" t="s">
        <v>47</v>
      </c>
      <c r="C31" s="37">
        <v>54565.169900000001</v>
      </c>
      <c r="D31" s="27"/>
      <c r="E31" s="1">
        <f t="shared" si="0"/>
        <v>3976.5137795708615</v>
      </c>
      <c r="F31" s="1">
        <f t="shared" si="1"/>
        <v>3976.5</v>
      </c>
      <c r="G31" s="1">
        <f t="shared" si="4"/>
        <v>5.2246084960643202E-3</v>
      </c>
      <c r="K31" s="1">
        <f t="shared" si="5"/>
        <v>5.2246084960643202E-3</v>
      </c>
      <c r="O31" s="1">
        <f t="shared" ca="1" si="2"/>
        <v>1.0040678755765492E-3</v>
      </c>
      <c r="Q31" s="61">
        <f t="shared" si="3"/>
        <v>39546.669900000001</v>
      </c>
    </row>
    <row r="32" spans="1:17">
      <c r="A32" s="35" t="s">
        <v>53</v>
      </c>
      <c r="B32" s="36" t="s">
        <v>46</v>
      </c>
      <c r="C32" s="37">
        <v>54601.000999999997</v>
      </c>
      <c r="D32" s="27"/>
      <c r="E32" s="1">
        <f t="shared" si="0"/>
        <v>4071.0160148256055</v>
      </c>
      <c r="F32" s="1">
        <f t="shared" si="1"/>
        <v>4071</v>
      </c>
      <c r="G32" s="1">
        <f t="shared" si="4"/>
        <v>6.0721189947798848E-3</v>
      </c>
      <c r="K32" s="1">
        <f t="shared" si="5"/>
        <v>6.0721189947798848E-3</v>
      </c>
      <c r="O32" s="1">
        <f t="shared" ca="1" si="2"/>
        <v>9.3121168256007176E-4</v>
      </c>
      <c r="Q32" s="61">
        <f t="shared" si="3"/>
        <v>39582.500999999997</v>
      </c>
    </row>
    <row r="33" spans="1:17">
      <c r="A33" s="35" t="s">
        <v>54</v>
      </c>
      <c r="B33" s="36" t="s">
        <v>46</v>
      </c>
      <c r="C33" s="37">
        <v>55975.431299999997</v>
      </c>
      <c r="D33" s="27"/>
      <c r="E33" s="1">
        <f t="shared" si="0"/>
        <v>7695.9880517394449</v>
      </c>
      <c r="F33" s="1">
        <f t="shared" si="1"/>
        <v>7696</v>
      </c>
      <c r="G33" s="1">
        <f t="shared" si="4"/>
        <v>-4.5302560029085726E-3</v>
      </c>
      <c r="K33" s="1">
        <f t="shared" ref="K33:K38" si="6">+G33</f>
        <v>-4.5302560029085726E-3</v>
      </c>
      <c r="O33" s="1">
        <f t="shared" ca="1" si="2"/>
        <v>-1.8635364622518929E-3</v>
      </c>
      <c r="Q33" s="61">
        <f t="shared" si="3"/>
        <v>40956.931299999997</v>
      </c>
    </row>
    <row r="34" spans="1:17">
      <c r="A34" s="35" t="s">
        <v>54</v>
      </c>
      <c r="B34" s="36" t="s">
        <v>47</v>
      </c>
      <c r="C34" s="37">
        <v>55975.622600000002</v>
      </c>
      <c r="D34" s="27"/>
      <c r="E34" s="1">
        <f t="shared" si="0"/>
        <v>7696.4925932579808</v>
      </c>
      <c r="F34" s="1">
        <f t="shared" si="1"/>
        <v>7696.5</v>
      </c>
      <c r="G34" s="1">
        <f t="shared" si="4"/>
        <v>-2.8083115030312911E-3</v>
      </c>
      <c r="K34" s="1">
        <f t="shared" si="6"/>
        <v>-2.8083115030312911E-3</v>
      </c>
      <c r="O34" s="1">
        <f t="shared" ca="1" si="2"/>
        <v>-1.8639219447546254E-3</v>
      </c>
      <c r="Q34" s="61">
        <f t="shared" si="3"/>
        <v>40957.122600000002</v>
      </c>
    </row>
    <row r="35" spans="1:17">
      <c r="A35" s="33" t="s">
        <v>55</v>
      </c>
      <c r="B35" s="29" t="s">
        <v>46</v>
      </c>
      <c r="C35" s="28">
        <v>56013.349170000001</v>
      </c>
      <c r="D35" s="28">
        <v>1E-4</v>
      </c>
      <c r="E35" s="1">
        <f t="shared" si="0"/>
        <v>7795.994009443777</v>
      </c>
      <c r="F35" s="1">
        <f t="shared" si="1"/>
        <v>7796</v>
      </c>
      <c r="G35" s="1">
        <f t="shared" si="4"/>
        <v>-2.2713560028932989E-3</v>
      </c>
      <c r="K35" s="1">
        <f t="shared" si="6"/>
        <v>-2.2713560028932989E-3</v>
      </c>
      <c r="O35" s="1">
        <f t="shared" ca="1" si="2"/>
        <v>-1.9406329627984298E-3</v>
      </c>
      <c r="Q35" s="61">
        <f t="shared" si="3"/>
        <v>40994.849170000001</v>
      </c>
    </row>
    <row r="36" spans="1:17">
      <c r="A36" s="28" t="s">
        <v>56</v>
      </c>
      <c r="B36" s="29" t="s">
        <v>46</v>
      </c>
      <c r="C36" s="38">
        <v>56703.409899999999</v>
      </c>
      <c r="D36" s="28">
        <v>5.9999999999999995E-4</v>
      </c>
      <c r="E36" s="1">
        <f t="shared" si="0"/>
        <v>9615.9850632079015</v>
      </c>
      <c r="F36" s="1">
        <f t="shared" si="1"/>
        <v>9616</v>
      </c>
      <c r="G36" s="1">
        <f t="shared" si="4"/>
        <v>-5.6633760032127611E-3</v>
      </c>
      <c r="K36" s="1">
        <f t="shared" si="6"/>
        <v>-5.6633760032127611E-3</v>
      </c>
      <c r="O36" s="1">
        <f t="shared" ca="1" si="2"/>
        <v>-3.3437892727454016E-3</v>
      </c>
      <c r="Q36" s="61">
        <f t="shared" si="3"/>
        <v>41684.909899999999</v>
      </c>
    </row>
    <row r="37" spans="1:17">
      <c r="A37" s="28" t="s">
        <v>56</v>
      </c>
      <c r="B37" s="29" t="s">
        <v>46</v>
      </c>
      <c r="C37" s="38">
        <v>56703.41</v>
      </c>
      <c r="D37" s="28">
        <v>5.9999999999999995E-4</v>
      </c>
      <c r="E37" s="1">
        <f t="shared" si="0"/>
        <v>9615.9853269515206</v>
      </c>
      <c r="F37" s="1">
        <f t="shared" si="1"/>
        <v>9616</v>
      </c>
      <c r="G37" s="1">
        <f t="shared" si="4"/>
        <v>-5.563375998463016E-3</v>
      </c>
      <c r="K37" s="1">
        <f t="shared" si="6"/>
        <v>-5.563375998463016E-3</v>
      </c>
      <c r="O37" s="1">
        <f t="shared" ca="1" si="2"/>
        <v>-3.3437892727454016E-3</v>
      </c>
      <c r="Q37" s="61">
        <f t="shared" si="3"/>
        <v>41684.910000000003</v>
      </c>
    </row>
    <row r="38" spans="1:17">
      <c r="A38" s="28" t="s">
        <v>56</v>
      </c>
      <c r="B38" s="29" t="s">
        <v>46</v>
      </c>
      <c r="C38" s="38">
        <v>56703.410649999998</v>
      </c>
      <c r="D38" s="28">
        <v>5.0000000000000001E-4</v>
      </c>
      <c r="E38" s="1">
        <f t="shared" si="0"/>
        <v>9615.987041284945</v>
      </c>
      <c r="F38" s="1">
        <f t="shared" si="1"/>
        <v>9616</v>
      </c>
      <c r="G38" s="1">
        <f t="shared" si="4"/>
        <v>-4.9133760039694607E-3</v>
      </c>
      <c r="K38" s="1">
        <f t="shared" si="6"/>
        <v>-4.9133760039694607E-3</v>
      </c>
      <c r="O38" s="1">
        <f t="shared" ca="1" si="2"/>
        <v>-3.3437892727454016E-3</v>
      </c>
      <c r="Q38" s="61">
        <f t="shared" si="3"/>
        <v>41684.910649999998</v>
      </c>
    </row>
    <row r="39" spans="1:17">
      <c r="A39" s="39" t="s">
        <v>57</v>
      </c>
      <c r="B39" s="40" t="s">
        <v>46</v>
      </c>
      <c r="C39" s="41">
        <v>57089.393790000002</v>
      </c>
      <c r="D39" s="41">
        <v>2.9999999999999997E-4</v>
      </c>
      <c r="E39" s="1">
        <f>+(C39-C$7)/C$8</f>
        <v>10633.992893760851</v>
      </c>
      <c r="F39" s="1">
        <f t="shared" si="1"/>
        <v>10634</v>
      </c>
      <c r="G39" s="1">
        <f>+C39-(C$7+F39*C$8)</f>
        <v>-2.6943740012939088E-3</v>
      </c>
      <c r="K39" s="1">
        <f>+G39</f>
        <v>-2.6943740012939088E-3</v>
      </c>
      <c r="O39" s="1">
        <f ca="1">+C$11+C$12*F39</f>
        <v>-4.1286316483091483E-3</v>
      </c>
      <c r="Q39" s="61">
        <f>+C39-15018.5</f>
        <v>42070.893790000002</v>
      </c>
    </row>
    <row r="40" spans="1:17" ht="12" customHeight="1">
      <c r="A40" s="42" t="s">
        <v>58</v>
      </c>
      <c r="B40" s="43" t="s">
        <v>46</v>
      </c>
      <c r="C40" s="42">
        <v>57045.031799999997</v>
      </c>
      <c r="D40" s="42">
        <v>8.0000000000000004E-4</v>
      </c>
      <c r="E40" s="1">
        <f>+(C40-C$7)/C$8</f>
        <v>10516.990981585406</v>
      </c>
      <c r="F40" s="1">
        <f t="shared" si="1"/>
        <v>10517</v>
      </c>
      <c r="G40" s="1">
        <f>+C40-(C$7+F40*C$8)</f>
        <v>-3.4193870014860295E-3</v>
      </c>
      <c r="K40" s="1">
        <f>+G40</f>
        <v>-3.4193870014860295E-3</v>
      </c>
      <c r="O40" s="1">
        <f ca="1">+C$11+C$12*F40</f>
        <v>-4.0384287426697002E-3</v>
      </c>
      <c r="Q40" s="61">
        <f>+C40-15018.5</f>
        <v>42026.531799999997</v>
      </c>
    </row>
    <row r="41" spans="1:17" ht="12" customHeight="1">
      <c r="A41" s="44" t="s">
        <v>59</v>
      </c>
      <c r="B41" s="45" t="s">
        <v>46</v>
      </c>
      <c r="C41" s="44">
        <v>57477.837699999996</v>
      </c>
      <c r="D41" s="44">
        <v>8.9999999999999998E-4</v>
      </c>
      <c r="E41" s="1">
        <f>+(C41-C$7)/C$8</f>
        <v>11658.488869773208</v>
      </c>
      <c r="F41" s="1">
        <f t="shared" si="1"/>
        <v>11658.5</v>
      </c>
      <c r="G41" s="1">
        <f>+C41-(C$7+F41*C$8)</f>
        <v>-4.2200935058644973E-3</v>
      </c>
      <c r="K41" s="1">
        <f>+G41</f>
        <v>-4.2200935058644973E-3</v>
      </c>
      <c r="O41" s="1">
        <f ca="1">+C$11+C$12*F41</f>
        <v>-4.9184852964084189E-3</v>
      </c>
      <c r="Q41" s="61">
        <f>+C41-15018.5</f>
        <v>42459.337699999996</v>
      </c>
    </row>
    <row r="42" spans="1:17" ht="12" customHeight="1">
      <c r="A42" s="46" t="s">
        <v>60</v>
      </c>
      <c r="B42" s="47" t="s">
        <v>46</v>
      </c>
      <c r="C42" s="48">
        <v>57780.592490000185</v>
      </c>
      <c r="D42" s="48">
        <v>1.9E-3</v>
      </c>
      <c r="E42" s="1">
        <f>+(C42-C$7)/C$8</f>
        <v>12456.9852706401</v>
      </c>
      <c r="F42" s="1">
        <f>ROUND(2*E42,0)/2</f>
        <v>12457</v>
      </c>
      <c r="G42" s="1">
        <f>+C42-(C$7+F42*C$8)</f>
        <v>-5.5847268158686347E-3</v>
      </c>
      <c r="K42" s="1">
        <f>+G42</f>
        <v>-5.5847268158686347E-3</v>
      </c>
      <c r="O42" s="1">
        <f ca="1">+C$11+C$12*F42</f>
        <v>-5.534100853272517E-3</v>
      </c>
      <c r="Q42" s="61">
        <f>+C42-15018.5</f>
        <v>42762.092490000185</v>
      </c>
    </row>
    <row r="43" spans="1:17" ht="12" customHeight="1">
      <c r="A43" s="62" t="s">
        <v>114</v>
      </c>
      <c r="B43" s="63" t="s">
        <v>47</v>
      </c>
      <c r="C43" s="64">
        <v>59680.353999999999</v>
      </c>
      <c r="D43" s="62">
        <v>8.0000000000000002E-3</v>
      </c>
      <c r="E43" s="1">
        <f t="shared" ref="E43:E45" si="7">+(C43-C$7)/C$8</f>
        <v>17467.484784914879</v>
      </c>
      <c r="F43" s="1">
        <f t="shared" ref="F43:F45" si="8">ROUND(2*E43,0)/2</f>
        <v>17467.5</v>
      </c>
      <c r="G43" s="1">
        <f t="shared" ref="G43:G45" si="9">+C43-(C$7+F43*C$8)</f>
        <v>-5.7688925007823855E-3</v>
      </c>
      <c r="K43" s="1">
        <f t="shared" ref="K43:K45" si="10">+G43</f>
        <v>-5.7688925007823855E-3</v>
      </c>
      <c r="O43" s="1">
        <f t="shared" ref="O43:O45" ca="1" si="11">+C$11+C$12*F43</f>
        <v>-9.3970210131567502E-3</v>
      </c>
      <c r="Q43" s="61">
        <f t="shared" ref="Q43:Q45" si="12">+C43-15018.5</f>
        <v>44661.853999999999</v>
      </c>
    </row>
    <row r="44" spans="1:17" ht="12" customHeight="1">
      <c r="A44" s="62" t="s">
        <v>114</v>
      </c>
      <c r="B44" s="63" t="s">
        <v>47</v>
      </c>
      <c r="C44" s="64">
        <v>59685.464999999997</v>
      </c>
      <c r="D44" s="62">
        <v>7.0000000000000001E-3</v>
      </c>
      <c r="E44" s="1">
        <f t="shared" si="7"/>
        <v>17480.964720623993</v>
      </c>
      <c r="F44" s="1">
        <f t="shared" si="8"/>
        <v>17481</v>
      </c>
      <c r="G44" s="1">
        <f t="shared" si="9"/>
        <v>-1.3376391005294863E-2</v>
      </c>
      <c r="K44" s="1">
        <f t="shared" si="10"/>
        <v>-1.3376391005294863E-2</v>
      </c>
      <c r="O44" s="1">
        <f t="shared" ca="1" si="11"/>
        <v>-9.4074290407305319E-3</v>
      </c>
      <c r="Q44" s="61">
        <f t="shared" si="12"/>
        <v>44666.964999999997</v>
      </c>
    </row>
    <row r="45" spans="1:17" ht="12" customHeight="1">
      <c r="A45" s="62" t="s">
        <v>115</v>
      </c>
      <c r="B45" s="63" t="s">
        <v>46</v>
      </c>
      <c r="C45" s="64">
        <v>59737.415800000002</v>
      </c>
      <c r="D45" s="62">
        <v>2.9999999999999997E-4</v>
      </c>
      <c r="E45" s="1">
        <f t="shared" si="7"/>
        <v>17617.981633955522</v>
      </c>
      <c r="F45" s="1">
        <f t="shared" si="8"/>
        <v>17618</v>
      </c>
      <c r="G45" s="1">
        <f t="shared" si="9"/>
        <v>-6.9635979962185957E-3</v>
      </c>
      <c r="K45" s="1">
        <f t="shared" si="10"/>
        <v>-6.9635979962185957E-3</v>
      </c>
      <c r="O45" s="1">
        <f t="shared" ca="1" si="11"/>
        <v>-9.5130512464792882E-3</v>
      </c>
      <c r="Q45" s="61">
        <f t="shared" si="12"/>
        <v>44718.915800000002</v>
      </c>
    </row>
    <row r="46" spans="1:17" ht="12" customHeight="1"/>
    <row r="47" spans="1:17" ht="12" customHeight="1"/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activeCell="A16" sqref="A16"/>
    </sheetView>
  </sheetViews>
  <sheetFormatPr defaultRowHeight="12.75"/>
  <cols>
    <col min="1" max="1" width="19.7109375" style="27" customWidth="1"/>
    <col min="2" max="2" width="4.42578125" customWidth="1"/>
    <col min="3" max="3" width="12.7109375" style="27" customWidth="1"/>
    <col min="4" max="4" width="5.42578125" customWidth="1"/>
    <col min="5" max="5" width="14.85546875" customWidth="1"/>
    <col min="7" max="7" width="12" customWidth="1"/>
    <col min="8" max="8" width="14.140625" style="27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49" t="s">
        <v>61</v>
      </c>
      <c r="I1" s="50" t="s">
        <v>62</v>
      </c>
      <c r="J1" s="51" t="s">
        <v>37</v>
      </c>
    </row>
    <row r="2" spans="1:16">
      <c r="I2" s="52" t="s">
        <v>63</v>
      </c>
      <c r="J2" s="53" t="s">
        <v>36</v>
      </c>
    </row>
    <row r="3" spans="1:16">
      <c r="A3" s="54" t="s">
        <v>64</v>
      </c>
      <c r="I3" s="52" t="s">
        <v>65</v>
      </c>
      <c r="J3" s="53" t="s">
        <v>34</v>
      </c>
    </row>
    <row r="4" spans="1:16">
      <c r="I4" s="52" t="s">
        <v>66</v>
      </c>
      <c r="J4" s="53" t="s">
        <v>34</v>
      </c>
    </row>
    <row r="5" spans="1:16">
      <c r="I5" s="55" t="s">
        <v>67</v>
      </c>
      <c r="J5" s="56" t="s">
        <v>35</v>
      </c>
    </row>
    <row r="11" spans="1:16" ht="12.75" customHeight="1">
      <c r="A11" s="27" t="str">
        <f t="shared" ref="A11:A19" si="0">P11</f>
        <v>IBVS 5603 </v>
      </c>
      <c r="B11" s="18" t="str">
        <f t="shared" ref="B11:B19" si="1">IF(H11=INT(H11),"I","II")</f>
        <v>I</v>
      </c>
      <c r="C11" s="27">
        <f t="shared" ref="C11:C19" si="2">1*G11</f>
        <v>53032.803699999997</v>
      </c>
      <c r="D11" t="str">
        <f t="shared" ref="D11:D19" si="3">VLOOKUP(F11,I$1:J$5,2,FALSE)</f>
        <v>vis</v>
      </c>
      <c r="E11">
        <f>VLOOKUP(C11,Active!C$21:E$973,3,FALSE)</f>
        <v>-65.004095371167011</v>
      </c>
      <c r="F11" s="18" t="s">
        <v>67</v>
      </c>
      <c r="G11" t="str">
        <f t="shared" ref="G11:G19" si="4">MID(I11,3,LEN(I11)-3)</f>
        <v>53032.8037</v>
      </c>
      <c r="H11" s="27">
        <f t="shared" ref="H11:H19" si="5">1*K11</f>
        <v>1405</v>
      </c>
      <c r="I11" s="57" t="s">
        <v>68</v>
      </c>
      <c r="J11" s="58" t="s">
        <v>69</v>
      </c>
      <c r="K11" s="57">
        <v>1405</v>
      </c>
      <c r="L11" s="57" t="s">
        <v>70</v>
      </c>
      <c r="M11" s="58" t="s">
        <v>71</v>
      </c>
      <c r="N11" s="58" t="s">
        <v>72</v>
      </c>
      <c r="O11" s="59" t="s">
        <v>73</v>
      </c>
      <c r="P11" s="60" t="s">
        <v>74</v>
      </c>
    </row>
    <row r="12" spans="1:16" ht="12.75" customHeight="1">
      <c r="A12" s="27" t="str">
        <f t="shared" si="0"/>
        <v>IBVS 5592 </v>
      </c>
      <c r="B12" s="18" t="str">
        <f t="shared" si="1"/>
        <v>I</v>
      </c>
      <c r="C12" s="27">
        <f t="shared" si="2"/>
        <v>53057.450400000002</v>
      </c>
      <c r="D12" t="str">
        <f t="shared" si="3"/>
        <v>vis</v>
      </c>
      <c r="E12">
        <f>VLOOKUP(C12,Active!C$21:E$973,3,FALSE)</f>
        <v>0</v>
      </c>
      <c r="F12" s="18" t="s">
        <v>67</v>
      </c>
      <c r="G12" t="str">
        <f t="shared" si="4"/>
        <v>53057.4504</v>
      </c>
      <c r="H12" s="27">
        <f t="shared" si="5"/>
        <v>1470</v>
      </c>
      <c r="I12" s="57" t="s">
        <v>75</v>
      </c>
      <c r="J12" s="58" t="s">
        <v>76</v>
      </c>
      <c r="K12" s="57">
        <v>1470</v>
      </c>
      <c r="L12" s="57" t="s">
        <v>77</v>
      </c>
      <c r="M12" s="58" t="s">
        <v>71</v>
      </c>
      <c r="N12" s="58" t="s">
        <v>72</v>
      </c>
      <c r="O12" s="59" t="s">
        <v>78</v>
      </c>
      <c r="P12" s="60" t="s">
        <v>79</v>
      </c>
    </row>
    <row r="13" spans="1:16" ht="12.75" customHeight="1">
      <c r="A13" s="27" t="str">
        <f t="shared" si="0"/>
        <v> JAAVSO 41;122 </v>
      </c>
      <c r="B13" s="18" t="str">
        <f t="shared" si="1"/>
        <v>I</v>
      </c>
      <c r="C13" s="27">
        <f t="shared" si="2"/>
        <v>53839.652600000001</v>
      </c>
      <c r="D13" t="str">
        <f t="shared" si="3"/>
        <v>vis</v>
      </c>
      <c r="E13">
        <f>VLOOKUP(C13,Active!C$21:E$973,3,FALSE)</f>
        <v>2063.0082894800016</v>
      </c>
      <c r="F13" s="18" t="s">
        <v>67</v>
      </c>
      <c r="G13" t="str">
        <f t="shared" si="4"/>
        <v>53839.6526</v>
      </c>
      <c r="H13" s="27">
        <f t="shared" si="5"/>
        <v>3533</v>
      </c>
      <c r="I13" s="57" t="s">
        <v>80</v>
      </c>
      <c r="J13" s="58" t="s">
        <v>81</v>
      </c>
      <c r="K13" s="57">
        <v>3533</v>
      </c>
      <c r="L13" s="57" t="s">
        <v>82</v>
      </c>
      <c r="M13" s="58" t="s">
        <v>83</v>
      </c>
      <c r="N13" s="58" t="s">
        <v>84</v>
      </c>
      <c r="O13" s="59" t="s">
        <v>85</v>
      </c>
      <c r="P13" s="59" t="s">
        <v>86</v>
      </c>
    </row>
    <row r="14" spans="1:16" ht="12.75" customHeight="1">
      <c r="A14" s="27" t="str">
        <f t="shared" si="0"/>
        <v>IBVS 5835 </v>
      </c>
      <c r="B14" s="18" t="str">
        <f t="shared" si="1"/>
        <v>II</v>
      </c>
      <c r="C14" s="27">
        <f t="shared" si="2"/>
        <v>54211.425000000003</v>
      </c>
      <c r="D14" t="str">
        <f t="shared" si="3"/>
        <v>vis</v>
      </c>
      <c r="E14">
        <f>VLOOKUP(C14,Active!C$21:E$973,3,FALSE)</f>
        <v>3043.5342238226549</v>
      </c>
      <c r="F14" s="18" t="s">
        <v>67</v>
      </c>
      <c r="G14" t="str">
        <f t="shared" si="4"/>
        <v>54211.425</v>
      </c>
      <c r="H14" s="27">
        <f t="shared" si="5"/>
        <v>4513.5</v>
      </c>
      <c r="I14" s="57" t="s">
        <v>87</v>
      </c>
      <c r="J14" s="58" t="s">
        <v>88</v>
      </c>
      <c r="K14" s="57">
        <v>4513.5</v>
      </c>
      <c r="L14" s="57" t="s">
        <v>89</v>
      </c>
      <c r="M14" s="58" t="s">
        <v>83</v>
      </c>
      <c r="N14" s="58" t="s">
        <v>67</v>
      </c>
      <c r="O14" s="59" t="s">
        <v>90</v>
      </c>
      <c r="P14" s="60" t="s">
        <v>91</v>
      </c>
    </row>
    <row r="15" spans="1:16" ht="12.75" customHeight="1">
      <c r="A15" s="27" t="str">
        <f t="shared" si="0"/>
        <v>OEJV 0160 </v>
      </c>
      <c r="B15" s="18" t="str">
        <f t="shared" si="1"/>
        <v>I</v>
      </c>
      <c r="C15" s="27">
        <f t="shared" si="2"/>
        <v>56013.349170000001</v>
      </c>
      <c r="D15" t="str">
        <f t="shared" si="3"/>
        <v>vis</v>
      </c>
      <c r="E15">
        <f>VLOOKUP(C15,Active!C$21:E$973,3,FALSE)</f>
        <v>7795.994009443777</v>
      </c>
      <c r="F15" s="18" t="s">
        <v>67</v>
      </c>
      <c r="G15" t="str">
        <f t="shared" si="4"/>
        <v>56013.34917</v>
      </c>
      <c r="H15" s="27">
        <f t="shared" si="5"/>
        <v>9266</v>
      </c>
      <c r="I15" s="57" t="s">
        <v>92</v>
      </c>
      <c r="J15" s="58" t="s">
        <v>93</v>
      </c>
      <c r="K15" s="57">
        <v>9266</v>
      </c>
      <c r="L15" s="57" t="s">
        <v>94</v>
      </c>
      <c r="M15" s="58" t="s">
        <v>83</v>
      </c>
      <c r="N15" s="58" t="s">
        <v>62</v>
      </c>
      <c r="O15" s="59" t="s">
        <v>95</v>
      </c>
      <c r="P15" s="60" t="s">
        <v>96</v>
      </c>
    </row>
    <row r="16" spans="1:16" ht="12.75" customHeight="1">
      <c r="A16" s="27" t="str">
        <f t="shared" si="0"/>
        <v>VSB 48 </v>
      </c>
      <c r="B16" s="18" t="str">
        <f t="shared" si="1"/>
        <v>II</v>
      </c>
      <c r="C16" s="27">
        <f t="shared" si="2"/>
        <v>54565.169900000001</v>
      </c>
      <c r="D16" t="str">
        <f t="shared" si="3"/>
        <v>vis</v>
      </c>
      <c r="E16">
        <f>VLOOKUP(C16,Active!C$21:E$973,3,FALSE)</f>
        <v>3976.5137795708615</v>
      </c>
      <c r="F16" s="18" t="s">
        <v>67</v>
      </c>
      <c r="G16" t="str">
        <f t="shared" si="4"/>
        <v>54565.1699</v>
      </c>
      <c r="H16" s="27">
        <f t="shared" si="5"/>
        <v>5446.5</v>
      </c>
      <c r="I16" s="57" t="s">
        <v>97</v>
      </c>
      <c r="J16" s="58" t="s">
        <v>98</v>
      </c>
      <c r="K16" s="57">
        <v>5446.5</v>
      </c>
      <c r="L16" s="57" t="s">
        <v>99</v>
      </c>
      <c r="M16" s="58" t="s">
        <v>83</v>
      </c>
      <c r="N16" s="58" t="s">
        <v>100</v>
      </c>
      <c r="O16" s="59" t="s">
        <v>101</v>
      </c>
      <c r="P16" s="60" t="s">
        <v>53</v>
      </c>
    </row>
    <row r="17" spans="1:16" ht="12.75" customHeight="1">
      <c r="A17" s="27" t="str">
        <f t="shared" si="0"/>
        <v>VSB 48 </v>
      </c>
      <c r="B17" s="18" t="str">
        <f t="shared" si="1"/>
        <v>I</v>
      </c>
      <c r="C17" s="27">
        <f t="shared" si="2"/>
        <v>54601.000999999997</v>
      </c>
      <c r="D17" t="str">
        <f t="shared" si="3"/>
        <v>vis</v>
      </c>
      <c r="E17">
        <f>VLOOKUP(C17,Active!C$21:E$973,3,FALSE)</f>
        <v>4071.0160148256055</v>
      </c>
      <c r="F17" s="18" t="s">
        <v>67</v>
      </c>
      <c r="G17" t="str">
        <f t="shared" si="4"/>
        <v>54601.0010</v>
      </c>
      <c r="H17" s="27">
        <f t="shared" si="5"/>
        <v>5541</v>
      </c>
      <c r="I17" s="57" t="s">
        <v>102</v>
      </c>
      <c r="J17" s="58" t="s">
        <v>103</v>
      </c>
      <c r="K17" s="57">
        <v>5541</v>
      </c>
      <c r="L17" s="57" t="s">
        <v>104</v>
      </c>
      <c r="M17" s="58" t="s">
        <v>83</v>
      </c>
      <c r="N17" s="58" t="s">
        <v>100</v>
      </c>
      <c r="O17" s="59" t="s">
        <v>101</v>
      </c>
      <c r="P17" s="60" t="s">
        <v>53</v>
      </c>
    </row>
    <row r="18" spans="1:16" ht="12.75" customHeight="1">
      <c r="A18" s="27" t="str">
        <f t="shared" si="0"/>
        <v>IBVS 6095 </v>
      </c>
      <c r="B18" s="18" t="str">
        <f t="shared" si="1"/>
        <v>I</v>
      </c>
      <c r="C18" s="27">
        <f t="shared" si="2"/>
        <v>55975.431299999997</v>
      </c>
      <c r="D18" t="str">
        <f t="shared" si="3"/>
        <v>vis</v>
      </c>
      <c r="E18">
        <f>VLOOKUP(C18,Active!C$21:E$973,3,FALSE)</f>
        <v>7695.9880517394449</v>
      </c>
      <c r="F18" s="18" t="s">
        <v>67</v>
      </c>
      <c r="G18" t="str">
        <f t="shared" si="4"/>
        <v>55975.4313</v>
      </c>
      <c r="H18" s="27">
        <f t="shared" si="5"/>
        <v>9166</v>
      </c>
      <c r="I18" s="57" t="s">
        <v>105</v>
      </c>
      <c r="J18" s="58" t="s">
        <v>106</v>
      </c>
      <c r="K18" s="57">
        <v>9166</v>
      </c>
      <c r="L18" s="57" t="s">
        <v>107</v>
      </c>
      <c r="M18" s="58" t="s">
        <v>83</v>
      </c>
      <c r="N18" s="58" t="s">
        <v>108</v>
      </c>
      <c r="O18" s="59" t="s">
        <v>109</v>
      </c>
      <c r="P18" s="60" t="s">
        <v>110</v>
      </c>
    </row>
    <row r="19" spans="1:16" ht="12.75" customHeight="1">
      <c r="A19" s="27" t="str">
        <f t="shared" si="0"/>
        <v>IBVS 6095 </v>
      </c>
      <c r="B19" s="18" t="str">
        <f t="shared" si="1"/>
        <v>II</v>
      </c>
      <c r="C19" s="27">
        <f t="shared" si="2"/>
        <v>55975.622600000002</v>
      </c>
      <c r="D19" t="str">
        <f t="shared" si="3"/>
        <v>vis</v>
      </c>
      <c r="E19">
        <f>VLOOKUP(C19,Active!C$21:E$973,3,FALSE)</f>
        <v>7696.4925932579808</v>
      </c>
      <c r="F19" s="18" t="s">
        <v>67</v>
      </c>
      <c r="G19" t="str">
        <f t="shared" si="4"/>
        <v>55975.6226</v>
      </c>
      <c r="H19" s="27">
        <f t="shared" si="5"/>
        <v>9166.5</v>
      </c>
      <c r="I19" s="57" t="s">
        <v>111</v>
      </c>
      <c r="J19" s="58" t="s">
        <v>112</v>
      </c>
      <c r="K19" s="57">
        <v>9166.5</v>
      </c>
      <c r="L19" s="57" t="s">
        <v>113</v>
      </c>
      <c r="M19" s="58" t="s">
        <v>83</v>
      </c>
      <c r="N19" s="58" t="s">
        <v>108</v>
      </c>
      <c r="O19" s="59" t="s">
        <v>109</v>
      </c>
      <c r="P19" s="60" t="s">
        <v>110</v>
      </c>
    </row>
  </sheetData>
  <sheetProtection selectLockedCells="1" selectUnlockedCells="1"/>
  <hyperlinks>
    <hyperlink ref="P11" r:id="rId1"/>
    <hyperlink ref="P12" r:id="rId2"/>
    <hyperlink ref="P14" r:id="rId3"/>
    <hyperlink ref="P15" r:id="rId4"/>
    <hyperlink ref="P16" r:id="rId5"/>
    <hyperlink ref="P17" r:id="rId6"/>
    <hyperlink ref="P18" r:id="rId7"/>
    <hyperlink ref="P19" r:id="rId8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2023-01-25T05:05:06Z</dcterms:created>
  <dcterms:modified xsi:type="dcterms:W3CDTF">2023-01-25T05:05:27Z</dcterms:modified>
</cp:coreProperties>
</file>