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B80AFD72-8DDE-46E8-9892-61FEBE565EF3}" xr6:coauthVersionLast="47" xr6:coauthVersionMax="47" xr10:uidLastSave="{00000000-0000-0000-0000-000000000000}"/>
  <bookViews>
    <workbookView xWindow="13530" yWindow="540" windowWidth="13320" windowHeight="142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3" i="1" l="1"/>
  <c r="F33" i="1" s="1"/>
  <c r="G33" i="1" s="1"/>
  <c r="Q33" i="1"/>
  <c r="E34" i="1"/>
  <c r="F34" i="1"/>
  <c r="G34" i="1" s="1"/>
  <c r="Q34" i="1"/>
  <c r="C7" i="1"/>
  <c r="C8" i="1"/>
  <c r="F12" i="1"/>
  <c r="F13" i="1" s="1"/>
  <c r="C13" i="1"/>
  <c r="D13" i="1"/>
  <c r="C14" i="1"/>
  <c r="D14" i="1"/>
  <c r="C17" i="1"/>
  <c r="C21" i="1"/>
  <c r="E21" i="1"/>
  <c r="F21" i="1"/>
  <c r="G21" i="1"/>
  <c r="Q21" i="1"/>
  <c r="E22" i="1"/>
  <c r="F22" i="1"/>
  <c r="G22" i="1"/>
  <c r="Q22" i="1"/>
  <c r="E23" i="1"/>
  <c r="F23" i="1"/>
  <c r="G23" i="1"/>
  <c r="Q23" i="1"/>
  <c r="E24" i="1"/>
  <c r="F24" i="1"/>
  <c r="G24" i="1"/>
  <c r="Q24" i="1"/>
  <c r="E25" i="1"/>
  <c r="F25" i="1"/>
  <c r="G25" i="1"/>
  <c r="Q25" i="1"/>
  <c r="E26" i="1"/>
  <c r="F26" i="1"/>
  <c r="G26" i="1"/>
  <c r="Q26" i="1"/>
  <c r="E27" i="1"/>
  <c r="F27" i="1"/>
  <c r="G27" i="1"/>
  <c r="Q27" i="1"/>
  <c r="E28" i="1"/>
  <c r="F28" i="1"/>
  <c r="G28" i="1"/>
  <c r="Q28" i="1"/>
  <c r="E29" i="1"/>
  <c r="F29" i="1"/>
  <c r="G29" i="1"/>
  <c r="Q29" i="1"/>
  <c r="E30" i="1"/>
  <c r="F30" i="1"/>
  <c r="G30" i="1"/>
  <c r="Q30" i="1"/>
  <c r="E31" i="1"/>
  <c r="F31" i="1"/>
  <c r="G31" i="1"/>
  <c r="Q31" i="1"/>
  <c r="E32" i="1"/>
  <c r="F32" i="1"/>
  <c r="G32" i="1"/>
  <c r="Q32" i="1"/>
  <c r="R27" i="1"/>
  <c r="K27" i="1"/>
  <c r="R26" i="1"/>
  <c r="K26" i="1"/>
  <c r="R25" i="1"/>
  <c r="K25" i="1"/>
  <c r="R32" i="1"/>
  <c r="K32" i="1"/>
  <c r="R24" i="1"/>
  <c r="K24" i="1"/>
  <c r="R31" i="1"/>
  <c r="K31" i="1"/>
  <c r="S23" i="1"/>
  <c r="K23" i="1"/>
  <c r="R30" i="1"/>
  <c r="K30" i="1"/>
  <c r="R22" i="1"/>
  <c r="K22" i="1"/>
  <c r="R29" i="1"/>
  <c r="K29" i="1"/>
  <c r="R21" i="1"/>
  <c r="H21" i="1"/>
  <c r="R28" i="1"/>
  <c r="K28" i="1"/>
  <c r="S19" i="1"/>
  <c r="E19" i="1"/>
  <c r="D11" i="1"/>
  <c r="D12" i="1"/>
  <c r="K34" i="1" l="1"/>
  <c r="R34" i="1"/>
  <c r="K33" i="1"/>
  <c r="R33" i="1"/>
  <c r="D16" i="1"/>
  <c r="D15" i="1"/>
  <c r="C11" i="1"/>
  <c r="C12" i="1"/>
  <c r="O34" i="1" l="1"/>
  <c r="O33" i="1"/>
  <c r="R19" i="1"/>
  <c r="E18" i="1" s="1"/>
  <c r="C16" i="1"/>
  <c r="D18" i="1" s="1"/>
  <c r="O22" i="1"/>
  <c r="O31" i="1"/>
  <c r="C15" i="1"/>
  <c r="O24" i="1"/>
  <c r="O25" i="1"/>
  <c r="O29" i="1"/>
  <c r="O21" i="1"/>
  <c r="O32" i="1"/>
  <c r="O27" i="1"/>
  <c r="O23" i="1"/>
  <c r="O28" i="1"/>
  <c r="O26" i="1"/>
  <c r="O30" i="1"/>
  <c r="C18" i="1" l="1"/>
  <c r="F14" i="1"/>
  <c r="F15" i="1" s="1"/>
</calcChain>
</file>

<file path=xl/sharedStrings.xml><?xml version="1.0" encoding="utf-8"?>
<sst xmlns="http://schemas.openxmlformats.org/spreadsheetml/2006/main" count="76" uniqueCount="61">
  <si>
    <t xml:space="preserve">NU UMa / GSC 3829-0322 / NSV 18546 </t>
  </si>
  <si>
    <t>System Type:</t>
  </si>
  <si>
    <t>EA</t>
  </si>
  <si>
    <t>UMa</t>
  </si>
  <si>
    <t>G3829-0322 _UMa.xls</t>
  </si>
  <si>
    <t>IBVS 5557 Eph.</t>
  </si>
  <si>
    <t>My time zone &gt;&gt;&gt;&gt;&gt;</t>
  </si>
  <si>
    <t>(PST=8, PDT=MDT=7, MDT=CST=6, etc.)</t>
  </si>
  <si>
    <t>--- Working ----</t>
  </si>
  <si>
    <t>Epoch =</t>
  </si>
  <si>
    <t>Period =</t>
  </si>
  <si>
    <t>Start of Lin fit (row)</t>
  </si>
  <si>
    <t>Primary</t>
  </si>
  <si>
    <t>Secondary</t>
  </si>
  <si>
    <t>LS Intercept =</t>
  </si>
  <si>
    <t>Add cycle</t>
  </si>
  <si>
    <t>LS Slope =</t>
  </si>
  <si>
    <t>JD today</t>
  </si>
  <si>
    <t>Start cell (x)</t>
  </si>
  <si>
    <t>Old Cycle</t>
  </si>
  <si>
    <t>Start cell (y)</t>
  </si>
  <si>
    <t>New Cycle</t>
  </si>
  <si>
    <t>New epoch =</t>
  </si>
  <si>
    <t>Next ToM</t>
  </si>
  <si>
    <t>New Period =</t>
  </si>
  <si>
    <t>Local time</t>
  </si>
  <si>
    <t># of data points =</t>
  </si>
  <si>
    <t>Prim. Ephem. =</t>
  </si>
  <si>
    <t>Sec. Ephem. =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</si>
  <si>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</si>
  <si>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</si>
  <si>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</si>
  <si>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</si>
  <si>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</si>
  <si>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</si>
  <si>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</si>
  <si>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</si>
  <si>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</si>
  <si>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</si>
  <si>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</si>
  <si>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</si>
  <si>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</si>
  <si>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</si>
  <si>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Prim. Fit</t>
  </si>
  <si>
    <t>Sec. Fit</t>
  </si>
  <si>
    <t>Date</t>
  </si>
  <si>
    <t>IBVS 5557</t>
  </si>
  <si>
    <t>na</t>
  </si>
  <si>
    <t>OEJV 0107</t>
  </si>
  <si>
    <t>I</t>
  </si>
  <si>
    <t>IBVS 6114</t>
  </si>
  <si>
    <t>II</t>
  </si>
  <si>
    <t>IBVS 6154</t>
  </si>
  <si>
    <t>IBVS 6195</t>
  </si>
  <si>
    <t>IBVS 6196</t>
  </si>
  <si>
    <t>0.0007</t>
  </si>
  <si>
    <t>IBVS 6244</t>
  </si>
  <si>
    <t>OEJV 0210</t>
  </si>
  <si>
    <t>VSB, 91</t>
  </si>
  <si>
    <t>JBAV, 60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</si>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</sst>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d/mm/yyyy;@"/>
    <numFmt numFmtId="169" formatCode="0.00000"/>
  </numFmts>
  <fonts count="13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1" fillId="0" borderId="0" applyFill="0" applyBorder="0" applyProtection="0">
      <alignment vertical="top"/>
    </xf>
    <xf numFmtId="164" fontId="11" fillId="0" borderId="0" applyFill="0" applyBorder="0" applyProtection="0">
      <alignment vertical="top"/>
    </xf>
    <xf numFmtId="0" fontId="11" fillId="0" borderId="0" applyFill="0" applyBorder="0" applyProtection="0">
      <alignment vertical="top"/>
    </xf>
    <xf numFmtId="2" fontId="11" fillId="0" borderId="0" applyFill="0" applyBorder="0" applyProtection="0">
      <alignment vertical="top"/>
    </xf>
    <xf numFmtId="0" fontId="1" fillId="0" borderId="0"/>
    <xf numFmtId="0" fontId="11" fillId="0" borderId="0"/>
  </cellStyleXfs>
  <cellXfs count="46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4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/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7" fillId="0" borderId="0" xfId="0" applyFont="1">
      <alignment vertical="top"/>
    </xf>
    <xf numFmtId="0" fontId="7" fillId="0" borderId="0" xfId="0" applyFont="1" applyAlignment="1"/>
    <xf numFmtId="0" fontId="6" fillId="0" borderId="0" xfId="0" applyFont="1">
      <alignment vertical="top"/>
    </xf>
    <xf numFmtId="0" fontId="7" fillId="0" borderId="0" xfId="0" applyFont="1" applyAlignment="1">
      <alignment horizontal="center"/>
    </xf>
    <xf numFmtId="165" fontId="7" fillId="0" borderId="0" xfId="0" applyNumberFormat="1" applyFont="1">
      <alignment vertical="top"/>
    </xf>
    <xf numFmtId="0" fontId="7" fillId="0" borderId="0" xfId="0" applyFont="1" applyAlignment="1">
      <alignment horizontal="right"/>
    </xf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 applyAlignment="1">
      <alignment horizontal="left"/>
    </xf>
    <xf numFmtId="0" fontId="3" fillId="0" borderId="1" xfId="0" applyFont="1" applyBorder="1" applyAlignment="1"/>
    <xf numFmtId="0" fontId="3" fillId="0" borderId="2" xfId="0" applyFont="1" applyBorder="1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8" fillId="0" borderId="0" xfId="0" applyFont="1">
      <alignment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0" fontId="8" fillId="0" borderId="0" xfId="5" applyFont="1" applyAlignment="1">
      <alignment wrapText="1"/>
    </xf>
    <xf numFmtId="0" fontId="8" fillId="0" borderId="0" xfId="5" applyFont="1" applyAlignment="1">
      <alignment horizontal="center" wrapText="1"/>
    </xf>
    <xf numFmtId="0" fontId="8" fillId="0" borderId="0" xfId="5" applyFont="1" applyAlignment="1">
      <alignment horizontal="left" wrapText="1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0" fillId="0" borderId="0" xfId="5" applyFont="1"/>
    <xf numFmtId="0" fontId="10" fillId="0" borderId="0" xfId="5" applyFont="1" applyAlignment="1">
      <alignment horizontal="center"/>
    </xf>
    <xf numFmtId="0" fontId="10" fillId="0" borderId="0" xfId="5" applyFont="1" applyAlignment="1">
      <alignment horizontal="left"/>
    </xf>
    <xf numFmtId="168" fontId="0" fillId="0" borderId="0" xfId="0" applyNumberFormat="1" applyAlignme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9" fontId="12" fillId="0" borderId="0" xfId="0" applyNumberFormat="1" applyFont="1" applyAlignment="1">
      <alignment vertical="center" wrapText="1"/>
    </xf>
  </cellXfs>
  <cellStyles count="7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A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NU UMa - Prim. O-C Diagr.</a:t>
            </a:r>
          </a:p>
        </c:rich>
      </c:tx>
      <c:layout>
        <c:manualLayout>
          <c:xMode val="edge"/>
          <c:yMode val="edge"/>
          <c:x val="0.27858649685421338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671535610560285"/>
          <c:y val="0.234375"/>
          <c:w val="0.76299453753830881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1253</c:v>
                </c:pt>
                <c:pt idx="2">
                  <c:v>1571.5</c:v>
                </c:pt>
                <c:pt idx="3">
                  <c:v>1574</c:v>
                </c:pt>
                <c:pt idx="4">
                  <c:v>1638</c:v>
                </c:pt>
                <c:pt idx="5">
                  <c:v>1705</c:v>
                </c:pt>
                <c:pt idx="6">
                  <c:v>1708</c:v>
                </c:pt>
                <c:pt idx="7">
                  <c:v>1771</c:v>
                </c:pt>
                <c:pt idx="8">
                  <c:v>1970</c:v>
                </c:pt>
                <c:pt idx="9">
                  <c:v>1970</c:v>
                </c:pt>
                <c:pt idx="10">
                  <c:v>1970</c:v>
                </c:pt>
                <c:pt idx="11">
                  <c:v>1970</c:v>
                </c:pt>
              </c:numCache>
            </c:numRef>
          </c:xVal>
          <c:yVal>
            <c:numRef>
              <c:f>Active!$R$21:$R$32</c:f>
              <c:numCache>
                <c:formatCode>General</c:formatCode>
                <c:ptCount val="12"/>
                <c:pt idx="0">
                  <c:v>0</c:v>
                </c:pt>
                <c:pt idx="1">
                  <c:v>7.0599999962723814E-3</c:v>
                </c:pt>
                <c:pt idx="3">
                  <c:v>1.315999999496853E-2</c:v>
                </c:pt>
                <c:pt idx="4">
                  <c:v>1.6139999999722932E-2</c:v>
                </c:pt>
                <c:pt idx="5">
                  <c:v>1.8599999995785765E-2</c:v>
                </c:pt>
                <c:pt idx="6">
                  <c:v>1.6239999997196719E-2</c:v>
                </c:pt>
                <c:pt idx="7">
                  <c:v>2.0879999996395782E-2</c:v>
                </c:pt>
                <c:pt idx="8">
                  <c:v>2.5956999787013046E-2</c:v>
                </c:pt>
                <c:pt idx="9">
                  <c:v>2.6834999953280203E-2</c:v>
                </c:pt>
                <c:pt idx="10">
                  <c:v>2.6863000166486017E-2</c:v>
                </c:pt>
                <c:pt idx="11">
                  <c:v>2.7328999989549629E-2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43-4204-BA3C-C94D9E6B9E99}"/>
            </c:ext>
          </c:extLst>
        </c:ser>
        <c:ser>
          <c:idx val="1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1253</c:v>
                </c:pt>
                <c:pt idx="2">
                  <c:v>1571.5</c:v>
                </c:pt>
                <c:pt idx="3">
                  <c:v>1574</c:v>
                </c:pt>
                <c:pt idx="4">
                  <c:v>1638</c:v>
                </c:pt>
                <c:pt idx="5">
                  <c:v>1705</c:v>
                </c:pt>
                <c:pt idx="6">
                  <c:v>1708</c:v>
                </c:pt>
                <c:pt idx="7">
                  <c:v>1771</c:v>
                </c:pt>
                <c:pt idx="8">
                  <c:v>1970</c:v>
                </c:pt>
                <c:pt idx="9">
                  <c:v>1970</c:v>
                </c:pt>
                <c:pt idx="10">
                  <c:v>1970</c:v>
                </c:pt>
                <c:pt idx="11">
                  <c:v>1970</c:v>
                </c:pt>
              </c:numCache>
            </c:numRef>
          </c:xVal>
          <c:yVal>
            <c:numRef>
              <c:f>Active!$O$21:$O$32</c:f>
              <c:numCache>
                <c:formatCode>General</c:formatCode>
                <c:ptCount val="12"/>
                <c:pt idx="0">
                  <c:v>-3.1964000835815978E-2</c:v>
                </c:pt>
                <c:pt idx="1">
                  <c:v>5.1711757640771766E-3</c:v>
                </c:pt>
                <c:pt idx="2">
                  <c:v>1.4610564229413141E-2</c:v>
                </c:pt>
                <c:pt idx="3">
                  <c:v>1.4684656760538227E-2</c:v>
                </c:pt>
                <c:pt idx="4">
                  <c:v>1.6581425557340435E-2</c:v>
                </c:pt>
                <c:pt idx="5">
                  <c:v>1.8567105391492741E-2</c:v>
                </c:pt>
                <c:pt idx="6">
                  <c:v>1.8656016428842848E-2</c:v>
                </c:pt>
                <c:pt idx="7">
                  <c:v>2.0523148213195015E-2</c:v>
                </c:pt>
                <c:pt idx="8">
                  <c:v>2.642091369075187E-2</c:v>
                </c:pt>
                <c:pt idx="9">
                  <c:v>2.642091369075187E-2</c:v>
                </c:pt>
                <c:pt idx="10">
                  <c:v>2.642091369075187E-2</c:v>
                </c:pt>
                <c:pt idx="11">
                  <c:v>2.642091369075187E-2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43-4204-BA3C-C94D9E6B9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546176"/>
        <c:axId val="1"/>
      </c:scatterChart>
      <c:valAx>
        <c:axId val="935546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7509562863893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291060291060294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5461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08983362526667"/>
          <c:y val="0.91249999999999998"/>
          <c:w val="0.3056135238812404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NU UMa - O-C Diagr.</a:t>
            </a:r>
          </a:p>
        </c:rich>
      </c:tx>
      <c:layout>
        <c:manualLayout>
          <c:xMode val="edge"/>
          <c:yMode val="edge"/>
          <c:x val="0.36290322580645162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4375"/>
          <c:w val="0.80967741935483872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1253</c:v>
                </c:pt>
                <c:pt idx="2">
                  <c:v>1571.5</c:v>
                </c:pt>
                <c:pt idx="3">
                  <c:v>1574</c:v>
                </c:pt>
                <c:pt idx="4">
                  <c:v>1638</c:v>
                </c:pt>
                <c:pt idx="5">
                  <c:v>1705</c:v>
                </c:pt>
                <c:pt idx="6">
                  <c:v>1708</c:v>
                </c:pt>
                <c:pt idx="7">
                  <c:v>1771</c:v>
                </c:pt>
                <c:pt idx="8">
                  <c:v>1970</c:v>
                </c:pt>
                <c:pt idx="9">
                  <c:v>1970</c:v>
                </c:pt>
                <c:pt idx="10">
                  <c:v>1970</c:v>
                </c:pt>
                <c:pt idx="11">
                  <c:v>1970</c:v>
                </c:pt>
              </c:numCache>
            </c:numRef>
          </c:xVal>
          <c:yVal>
            <c:numRef>
              <c:f>Active!$H$21:$H$32</c:f>
              <c:numCache>
                <c:formatCode>General</c:formatCode>
                <c:ptCount val="1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C0-459C-954D-F5B362192A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1253</c:v>
                </c:pt>
                <c:pt idx="2">
                  <c:v>1571.5</c:v>
                </c:pt>
                <c:pt idx="3">
                  <c:v>1574</c:v>
                </c:pt>
                <c:pt idx="4">
                  <c:v>1638</c:v>
                </c:pt>
                <c:pt idx="5">
                  <c:v>1705</c:v>
                </c:pt>
                <c:pt idx="6">
                  <c:v>1708</c:v>
                </c:pt>
                <c:pt idx="7">
                  <c:v>1771</c:v>
                </c:pt>
                <c:pt idx="8">
                  <c:v>1970</c:v>
                </c:pt>
                <c:pt idx="9">
                  <c:v>1970</c:v>
                </c:pt>
                <c:pt idx="10">
                  <c:v>1970</c:v>
                </c:pt>
                <c:pt idx="11">
                  <c:v>1970</c:v>
                </c:pt>
              </c:numCache>
            </c:numRef>
          </c:xVal>
          <c:yVal>
            <c:numRef>
              <c:f>Active!$I$21:$I$32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C0-459C-954D-F5B362192A8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1253</c:v>
                </c:pt>
                <c:pt idx="2">
                  <c:v>1571.5</c:v>
                </c:pt>
                <c:pt idx="3">
                  <c:v>1574</c:v>
                </c:pt>
                <c:pt idx="4">
                  <c:v>1638</c:v>
                </c:pt>
                <c:pt idx="5">
                  <c:v>1705</c:v>
                </c:pt>
                <c:pt idx="6">
                  <c:v>1708</c:v>
                </c:pt>
                <c:pt idx="7">
                  <c:v>1771</c:v>
                </c:pt>
                <c:pt idx="8">
                  <c:v>1970</c:v>
                </c:pt>
                <c:pt idx="9">
                  <c:v>1970</c:v>
                </c:pt>
                <c:pt idx="10">
                  <c:v>1970</c:v>
                </c:pt>
                <c:pt idx="11">
                  <c:v>1970</c:v>
                </c:pt>
              </c:numCache>
            </c:numRef>
          </c:xVal>
          <c:yVal>
            <c:numRef>
              <c:f>Active!$J$21:$J$32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C0-459C-954D-F5B362192A8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1253</c:v>
                </c:pt>
                <c:pt idx="2">
                  <c:v>1571.5</c:v>
                </c:pt>
                <c:pt idx="3">
                  <c:v>1574</c:v>
                </c:pt>
                <c:pt idx="4">
                  <c:v>1638</c:v>
                </c:pt>
                <c:pt idx="5">
                  <c:v>1705</c:v>
                </c:pt>
                <c:pt idx="6">
                  <c:v>1708</c:v>
                </c:pt>
                <c:pt idx="7">
                  <c:v>1771</c:v>
                </c:pt>
                <c:pt idx="8">
                  <c:v>1970</c:v>
                </c:pt>
                <c:pt idx="9">
                  <c:v>1970</c:v>
                </c:pt>
                <c:pt idx="10">
                  <c:v>1970</c:v>
                </c:pt>
                <c:pt idx="11">
                  <c:v>1970</c:v>
                </c:pt>
              </c:numCache>
            </c:numRef>
          </c:xVal>
          <c:yVal>
            <c:numRef>
              <c:f>Active!$K$21:$K$32</c:f>
              <c:numCache>
                <c:formatCode>General</c:formatCode>
                <c:ptCount val="12"/>
                <c:pt idx="1">
                  <c:v>7.0599999962723814E-3</c:v>
                </c:pt>
                <c:pt idx="2">
                  <c:v>2.7779999996710103E-2</c:v>
                </c:pt>
                <c:pt idx="3">
                  <c:v>1.315999999496853E-2</c:v>
                </c:pt>
                <c:pt idx="4">
                  <c:v>1.6139999999722932E-2</c:v>
                </c:pt>
                <c:pt idx="5">
                  <c:v>1.8599999995785765E-2</c:v>
                </c:pt>
                <c:pt idx="6">
                  <c:v>1.6239999997196719E-2</c:v>
                </c:pt>
                <c:pt idx="7">
                  <c:v>2.0879999996395782E-2</c:v>
                </c:pt>
                <c:pt idx="8">
                  <c:v>2.5956999787013046E-2</c:v>
                </c:pt>
                <c:pt idx="9">
                  <c:v>2.6834999953280203E-2</c:v>
                </c:pt>
                <c:pt idx="10">
                  <c:v>2.6863000166486017E-2</c:v>
                </c:pt>
                <c:pt idx="11">
                  <c:v>2.7328999989549629E-2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C0-459C-954D-F5B362192A8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1253</c:v>
                </c:pt>
                <c:pt idx="2">
                  <c:v>1571.5</c:v>
                </c:pt>
                <c:pt idx="3">
                  <c:v>1574</c:v>
                </c:pt>
                <c:pt idx="4">
                  <c:v>1638</c:v>
                </c:pt>
                <c:pt idx="5">
                  <c:v>1705</c:v>
                </c:pt>
                <c:pt idx="6">
                  <c:v>1708</c:v>
                </c:pt>
                <c:pt idx="7">
                  <c:v>1771</c:v>
                </c:pt>
                <c:pt idx="8">
                  <c:v>1970</c:v>
                </c:pt>
                <c:pt idx="9">
                  <c:v>1970</c:v>
                </c:pt>
                <c:pt idx="10">
                  <c:v>1970</c:v>
                </c:pt>
                <c:pt idx="11">
                  <c:v>1970</c:v>
                </c:pt>
              </c:numCache>
            </c:numRef>
          </c:xVal>
          <c:yVal>
            <c:numRef>
              <c:f>Active!$L$21:$L$32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C0-459C-954D-F5B362192A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1253</c:v>
                </c:pt>
                <c:pt idx="2">
                  <c:v>1571.5</c:v>
                </c:pt>
                <c:pt idx="3">
                  <c:v>1574</c:v>
                </c:pt>
                <c:pt idx="4">
                  <c:v>1638</c:v>
                </c:pt>
                <c:pt idx="5">
                  <c:v>1705</c:v>
                </c:pt>
                <c:pt idx="6">
                  <c:v>1708</c:v>
                </c:pt>
                <c:pt idx="7">
                  <c:v>1771</c:v>
                </c:pt>
                <c:pt idx="8">
                  <c:v>1970</c:v>
                </c:pt>
                <c:pt idx="9">
                  <c:v>1970</c:v>
                </c:pt>
                <c:pt idx="10">
                  <c:v>1970</c:v>
                </c:pt>
                <c:pt idx="11">
                  <c:v>1970</c:v>
                </c:pt>
              </c:numCache>
            </c:numRef>
          </c:xVal>
          <c:yVal>
            <c:numRef>
              <c:f>Active!$M$21:$M$32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C0-459C-954D-F5B362192A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1253</c:v>
                </c:pt>
                <c:pt idx="2">
                  <c:v>1571.5</c:v>
                </c:pt>
                <c:pt idx="3">
                  <c:v>1574</c:v>
                </c:pt>
                <c:pt idx="4">
                  <c:v>1638</c:v>
                </c:pt>
                <c:pt idx="5">
                  <c:v>1705</c:v>
                </c:pt>
                <c:pt idx="6">
                  <c:v>1708</c:v>
                </c:pt>
                <c:pt idx="7">
                  <c:v>1771</c:v>
                </c:pt>
                <c:pt idx="8">
                  <c:v>1970</c:v>
                </c:pt>
                <c:pt idx="9">
                  <c:v>1970</c:v>
                </c:pt>
                <c:pt idx="10">
                  <c:v>1970</c:v>
                </c:pt>
                <c:pt idx="11">
                  <c:v>1970</c:v>
                </c:pt>
              </c:numCache>
            </c:numRef>
          </c:xVal>
          <c:yVal>
            <c:numRef>
              <c:f>Active!$N$21:$N$32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C0-459C-954D-F5B362192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548800"/>
        <c:axId val="1"/>
      </c:scatterChart>
      <c:valAx>
        <c:axId val="935548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5488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290322580645162"/>
          <c:y val="0.91249999999999998"/>
          <c:w val="0.34677419354838712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NU UMa - Sec. O-C Diagr.</a:t>
            </a:r>
          </a:p>
        </c:rich>
      </c:tx>
      <c:layout>
        <c:manualLayout>
          <c:xMode val="edge"/>
          <c:yMode val="edge"/>
          <c:x val="0.2857146124061225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959201569676309"/>
          <c:y val="0.234375"/>
          <c:w val="0.76326606671124309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1253</c:v>
                </c:pt>
                <c:pt idx="2">
                  <c:v>1571.5</c:v>
                </c:pt>
                <c:pt idx="3">
                  <c:v>1574</c:v>
                </c:pt>
                <c:pt idx="4">
                  <c:v>1638</c:v>
                </c:pt>
                <c:pt idx="5">
                  <c:v>1705</c:v>
                </c:pt>
                <c:pt idx="6">
                  <c:v>1708</c:v>
                </c:pt>
                <c:pt idx="7">
                  <c:v>1771</c:v>
                </c:pt>
                <c:pt idx="8">
                  <c:v>1970</c:v>
                </c:pt>
                <c:pt idx="9">
                  <c:v>1970</c:v>
                </c:pt>
                <c:pt idx="10">
                  <c:v>1970</c:v>
                </c:pt>
                <c:pt idx="11">
                  <c:v>1970</c:v>
                </c:pt>
              </c:numCache>
            </c:numRef>
          </c:xVal>
          <c:yVal>
            <c:numRef>
              <c:f>Active!$S$21:$S$32</c:f>
              <c:numCache>
                <c:formatCode>General</c:formatCode>
                <c:ptCount val="12"/>
                <c:pt idx="2">
                  <c:v>2.7779999996710103E-2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EB-4EBD-BEF7-8E41F981D4E5}"/>
            </c:ext>
          </c:extLst>
        </c:ser>
        <c:ser>
          <c:idx val="1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1253</c:v>
                </c:pt>
                <c:pt idx="2">
                  <c:v>1571.5</c:v>
                </c:pt>
                <c:pt idx="3">
                  <c:v>1574</c:v>
                </c:pt>
                <c:pt idx="4">
                  <c:v>1638</c:v>
                </c:pt>
                <c:pt idx="5">
                  <c:v>1705</c:v>
                </c:pt>
                <c:pt idx="6">
                  <c:v>1708</c:v>
                </c:pt>
                <c:pt idx="7">
                  <c:v>1771</c:v>
                </c:pt>
                <c:pt idx="8">
                  <c:v>1970</c:v>
                </c:pt>
                <c:pt idx="9">
                  <c:v>1970</c:v>
                </c:pt>
                <c:pt idx="10">
                  <c:v>1970</c:v>
                </c:pt>
                <c:pt idx="11">
                  <c:v>1970</c:v>
                </c:pt>
              </c:numCache>
            </c:numRef>
          </c:xVal>
          <c:yVal>
            <c:numRef>
              <c:f>Active!$P$21:$P$32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EB-4EBD-BEF7-8E41F981D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543224"/>
        <c:axId val="1"/>
      </c:scatterChart>
      <c:valAx>
        <c:axId val="935543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9031989813155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224604350198795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5432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367381305059639"/>
          <c:y val="0.91249999999999998"/>
          <c:w val="0.33265330942543075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14</xdr:col>
      <xdr:colOff>0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65D84339-D0A9-364F-4842-249925A90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257175</xdr:colOff>
      <xdr:row>0</xdr:row>
      <xdr:rowOff>0</xdr:rowOff>
    </xdr:from>
    <xdr:to>
      <xdr:col>29</xdr:col>
      <xdr:colOff>676275</xdr:colOff>
      <xdr:row>18</xdr:row>
      <xdr:rowOff>38100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C1186B4E-C94F-BD5E-0705-F06C06E16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0</xdr:row>
      <xdr:rowOff>0</xdr:rowOff>
    </xdr:from>
    <xdr:to>
      <xdr:col>21</xdr:col>
      <xdr:colOff>238125</xdr:colOff>
      <xdr:row>18</xdr:row>
      <xdr:rowOff>38100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78C9670F-3F3F-5DBC-F23A-831F19460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3.28515625" style="1" customWidth="1"/>
    <col min="4" max="4" width="8.28515625" style="1" customWidth="1"/>
    <col min="5" max="5" width="9.42578125" style="1" customWidth="1"/>
    <col min="6" max="6" width="16.85546875" style="1" customWidth="1"/>
    <col min="7" max="7" width="9" style="1" customWidth="1"/>
    <col min="8" max="14" width="8.5703125" style="1" customWidth="1"/>
    <col min="15" max="15" width="8" style="1" customWidth="1"/>
    <col min="16" max="17" width="9.85546875" style="1" customWidth="1"/>
    <col min="18" max="16384" width="10.28515625" style="1"/>
  </cols>
  <sheetData>
    <row r="1" spans="1:6" ht="20.25" x14ac:dyDescent="0.3">
      <c r="A1" s="2" t="s">
        <v>0</v>
      </c>
      <c r="E1" s="3"/>
      <c r="F1" s="3"/>
    </row>
    <row r="2" spans="1:6" x14ac:dyDescent="0.2">
      <c r="A2" s="1" t="s">
        <v>1</v>
      </c>
      <c r="B2" s="1" t="s">
        <v>2</v>
      </c>
      <c r="C2" s="4" t="s">
        <v>3</v>
      </c>
      <c r="D2" s="1" t="s">
        <v>4</v>
      </c>
    </row>
    <row r="4" spans="1:6" x14ac:dyDescent="0.2">
      <c r="A4" s="5" t="s">
        <v>5</v>
      </c>
      <c r="C4" s="6">
        <v>48058.296000000002</v>
      </c>
      <c r="D4" s="7">
        <v>5.5076200000000002</v>
      </c>
    </row>
    <row r="5" spans="1:6" x14ac:dyDescent="0.2">
      <c r="A5" s="8" t="s">
        <v>6</v>
      </c>
      <c r="B5"/>
      <c r="C5" s="9">
        <v>-9.5</v>
      </c>
      <c r="D5" t="s">
        <v>7</v>
      </c>
    </row>
    <row r="6" spans="1:6" x14ac:dyDescent="0.2">
      <c r="A6" s="10" t="s">
        <v>8</v>
      </c>
    </row>
    <row r="7" spans="1:6" x14ac:dyDescent="0.2">
      <c r="A7" s="1" t="s">
        <v>9</v>
      </c>
      <c r="C7" s="1">
        <f>+C4</f>
        <v>48058.296000000002</v>
      </c>
    </row>
    <row r="8" spans="1:6" x14ac:dyDescent="0.2">
      <c r="A8" s="1" t="s">
        <v>10</v>
      </c>
      <c r="C8" s="1">
        <f>D4</f>
        <v>5.5076200000000002</v>
      </c>
    </row>
    <row r="9" spans="1:6" x14ac:dyDescent="0.2">
      <c r="A9" s="11" t="s">
        <v>11</v>
      </c>
      <c r="B9" s="11"/>
      <c r="C9" s="12">
        <v>22</v>
      </c>
      <c r="D9" s="12">
        <v>21</v>
      </c>
    </row>
    <row r="10" spans="1:6" x14ac:dyDescent="0.2">
      <c r="A10"/>
      <c r="B10"/>
      <c r="C10" s="13" t="s">
        <v>12</v>
      </c>
      <c r="D10" s="13" t="s">
        <v>13</v>
      </c>
    </row>
    <row r="11" spans="1:6" x14ac:dyDescent="0.2">
      <c r="A11" t="s">
        <v>14</v>
      </c>
      <c r="B11"/>
      <c r="C11" s="14">
        <f ca="1">INTERCEPT(INDIRECT(C14):R$935,INDIRECT(C13):$F$935)</f>
        <v>-3.1964000835815978E-2</v>
      </c>
      <c r="D11" s="14" t="e">
        <f ca="1">INTERCEPT(INDIRECT(D14):S$935,INDIRECT(D13):$F$935)</f>
        <v>#DIV/0!</v>
      </c>
      <c r="E11" s="11" t="s">
        <v>15</v>
      </c>
      <c r="F11" s="1">
        <v>1</v>
      </c>
    </row>
    <row r="12" spans="1:6" x14ac:dyDescent="0.2">
      <c r="A12" t="s">
        <v>16</v>
      </c>
      <c r="B12"/>
      <c r="C12" s="14">
        <f ca="1">SLOPE(INDIRECT(C14):R$935,INDIRECT(C13):$F$935)</f>
        <v>2.963701245003444E-5</v>
      </c>
      <c r="D12" s="14" t="e">
        <f ca="1">SLOPE(INDIRECT(D14):S$935,INDIRECT(D13):$F$935)</f>
        <v>#DIV/0!</v>
      </c>
      <c r="E12" s="11" t="s">
        <v>17</v>
      </c>
      <c r="F12" s="14">
        <f ca="1">NOW()+15018.5+$C$5/24</f>
        <v>59969.761188194439</v>
      </c>
    </row>
    <row r="13" spans="1:6" x14ac:dyDescent="0.2">
      <c r="A13" s="11" t="s">
        <v>18</v>
      </c>
      <c r="B13" s="11"/>
      <c r="C13" s="12" t="str">
        <f>"F"&amp;C9</f>
        <v>F22</v>
      </c>
      <c r="D13" s="12" t="str">
        <f>"F"&amp;D9</f>
        <v>F21</v>
      </c>
      <c r="E13" s="11" t="s">
        <v>19</v>
      </c>
      <c r="F13" s="14">
        <f ca="1">ROUND(2*(F12-$C$7)/$C$8,0)/2+F11</f>
        <v>2163.5</v>
      </c>
    </row>
    <row r="14" spans="1:6" x14ac:dyDescent="0.2">
      <c r="A14" s="11" t="s">
        <v>20</v>
      </c>
      <c r="B14" s="11"/>
      <c r="C14" s="12" t="str">
        <f>"R"&amp;C9</f>
        <v>R22</v>
      </c>
      <c r="D14" s="12" t="str">
        <f>"S"&amp;D9</f>
        <v>S21</v>
      </c>
      <c r="E14" s="11" t="s">
        <v>21</v>
      </c>
      <c r="F14" s="15">
        <f ca="1">ROUND(2*(F12-$C$15)/$C$16,0)/2+F11</f>
        <v>128.5</v>
      </c>
    </row>
    <row r="15" spans="1:6" x14ac:dyDescent="0.2">
      <c r="A15" s="16" t="s">
        <v>22</v>
      </c>
      <c r="B15"/>
      <c r="C15" s="17">
        <f ca="1">($C7+C11)+($C8+C12)*INT(MAX($F21:$F3533))</f>
        <v>59266.331047319502</v>
      </c>
      <c r="D15" s="17" t="e">
        <f ca="1">($C7+D11)+($C8+D12)*INT(MAX($F21:$F3533))</f>
        <v>#DIV/0!</v>
      </c>
      <c r="E15" s="11" t="s">
        <v>23</v>
      </c>
      <c r="F15" s="18">
        <f ca="1">+$C$15+$C$16*F14-15018.5-$C$5/24</f>
        <v>44955.959859008937</v>
      </c>
    </row>
    <row r="16" spans="1:6" x14ac:dyDescent="0.2">
      <c r="A16" s="16" t="s">
        <v>24</v>
      </c>
      <c r="B16"/>
      <c r="C16" s="17">
        <f ca="1">+$C8+C12</f>
        <v>5.5076496370124506</v>
      </c>
      <c r="D16" s="14" t="e">
        <f ca="1">+$C8+D12</f>
        <v>#DIV/0!</v>
      </c>
      <c r="E16" s="19"/>
      <c r="F16" s="19" t="s">
        <v>25</v>
      </c>
    </row>
    <row r="17" spans="1:19" x14ac:dyDescent="0.2">
      <c r="A17" s="20" t="s">
        <v>26</v>
      </c>
      <c r="C17" s="1">
        <f>COUNT(C21:C1247)</f>
        <v>14</v>
      </c>
    </row>
    <row r="18" spans="1:19" x14ac:dyDescent="0.2">
      <c r="A18" s="10" t="s">
        <v>27</v>
      </c>
      <c r="C18" s="21">
        <f ca="1">+C15</f>
        <v>59266.331047319502</v>
      </c>
      <c r="D18" s="22">
        <f ca="1">+C16</f>
        <v>5.5076496370124506</v>
      </c>
      <c r="E18" s="23">
        <f>R19</f>
        <v>13</v>
      </c>
    </row>
    <row r="19" spans="1:19" x14ac:dyDescent="0.2">
      <c r="A19" s="10" t="s">
        <v>28</v>
      </c>
      <c r="C19" s="24">
        <v>56713.548609999998</v>
      </c>
      <c r="D19" s="25">
        <v>5.5076288237792417</v>
      </c>
      <c r="E19" s="23">
        <f>S19</f>
        <v>1</v>
      </c>
      <c r="R19" s="1">
        <f>COUNT(R21:R322)</f>
        <v>13</v>
      </c>
      <c r="S19" s="1">
        <f>COUNT(S21:S322)</f>
        <v>1</v>
      </c>
    </row>
    <row r="20" spans="1:19" x14ac:dyDescent="0.2">
      <c r="A20" s="13" t="s">
        <v>29</v>
      </c>
      <c r="B20" s="13" t="s">
        <v>30</v>
      </c>
      <c r="C20" s="13" t="s">
        <v>31</v>
      </c>
      <c r="D20" s="13" t="s">
        <v>32</v>
      </c>
      <c r="E20" s="13" t="s">
        <v>33</v>
      </c>
      <c r="F20" s="13" t="s">
        <v>34</v>
      </c>
      <c r="G20" s="13" t="s">
        <v>35</v>
      </c>
      <c r="H20" s="26" t="s">
        <v>36</v>
      </c>
      <c r="I20" s="26" t="s">
        <v>37</v>
      </c>
      <c r="J20" s="26" t="s">
        <v>38</v>
      </c>
      <c r="K20" s="26" t="s">
        <v>39</v>
      </c>
      <c r="L20" s="26" t="s">
        <v>40</v>
      </c>
      <c r="M20" s="26" t="s">
        <v>41</v>
      </c>
      <c r="N20" s="26" t="s">
        <v>42</v>
      </c>
      <c r="O20" s="26" t="s">
        <v>43</v>
      </c>
      <c r="P20" s="26" t="s">
        <v>44</v>
      </c>
      <c r="Q20" s="13" t="s">
        <v>45</v>
      </c>
      <c r="R20" s="27" t="s">
        <v>12</v>
      </c>
      <c r="S20" s="27" t="s">
        <v>13</v>
      </c>
    </row>
    <row r="21" spans="1:19" x14ac:dyDescent="0.2">
      <c r="A21" s="1" t="s">
        <v>46</v>
      </c>
      <c r="C21" s="4">
        <f>+$C$4</f>
        <v>48058.296000000002</v>
      </c>
      <c r="D21" s="4" t="s">
        <v>47</v>
      </c>
      <c r="E21" s="1">
        <f t="shared" ref="E21:E26" si="0">+(C21-C$7)/C$8</f>
        <v>0</v>
      </c>
      <c r="F21" s="1">
        <f t="shared" ref="F21:F28" si="1">ROUND(2*E21,0)/2</f>
        <v>0</v>
      </c>
      <c r="G21" s="1">
        <f t="shared" ref="G21:G26" si="2">+C21-(C$7+F21*C$8)</f>
        <v>0</v>
      </c>
      <c r="H21" s="1">
        <f>+G21</f>
        <v>0</v>
      </c>
      <c r="O21" s="1">
        <f t="shared" ref="O21:O25" ca="1" si="3">+C$11+C$12*$F21</f>
        <v>-3.1964000835815978E-2</v>
      </c>
      <c r="Q21" s="42">
        <f t="shared" ref="Q21:Q26" si="4">+C21-15018.5</f>
        <v>33039.796000000002</v>
      </c>
      <c r="R21" s="1">
        <f>G21</f>
        <v>0</v>
      </c>
    </row>
    <row r="22" spans="1:19" x14ac:dyDescent="0.2">
      <c r="A22" s="28" t="s">
        <v>48</v>
      </c>
      <c r="B22" s="29" t="s">
        <v>49</v>
      </c>
      <c r="C22" s="30">
        <v>54959.350919999997</v>
      </c>
      <c r="D22" s="30">
        <v>1E-4</v>
      </c>
      <c r="E22" s="1">
        <f t="shared" si="0"/>
        <v>1253.0012818604034</v>
      </c>
      <c r="F22" s="1">
        <f t="shared" si="1"/>
        <v>1253</v>
      </c>
      <c r="G22" s="1">
        <f t="shared" si="2"/>
        <v>7.0599999962723814E-3</v>
      </c>
      <c r="K22" s="1">
        <f t="shared" ref="K22:K28" si="5">+G22</f>
        <v>7.0599999962723814E-3</v>
      </c>
      <c r="O22" s="1">
        <f t="shared" ca="1" si="3"/>
        <v>5.1711757640771766E-3</v>
      </c>
      <c r="Q22" s="42">
        <f t="shared" si="4"/>
        <v>39940.850919999997</v>
      </c>
      <c r="R22" s="1">
        <f>G22</f>
        <v>7.0599999962723814E-3</v>
      </c>
    </row>
    <row r="23" spans="1:19" x14ac:dyDescent="0.2">
      <c r="A23" s="30" t="s">
        <v>50</v>
      </c>
      <c r="B23" s="29" t="s">
        <v>51</v>
      </c>
      <c r="C23" s="30">
        <v>56713.548609999998</v>
      </c>
      <c r="D23" s="30">
        <v>2.7E-4</v>
      </c>
      <c r="E23" s="31">
        <f t="shared" si="0"/>
        <v>1571.505043920967</v>
      </c>
      <c r="F23" s="1">
        <f t="shared" si="1"/>
        <v>1571.5</v>
      </c>
      <c r="G23" s="1">
        <f t="shared" si="2"/>
        <v>2.7779999996710103E-2</v>
      </c>
      <c r="K23" s="1">
        <f t="shared" si="5"/>
        <v>2.7779999996710103E-2</v>
      </c>
      <c r="O23" s="1">
        <f t="shared" ca="1" si="3"/>
        <v>1.4610564229413141E-2</v>
      </c>
      <c r="Q23" s="42">
        <f t="shared" si="4"/>
        <v>41695.048609999998</v>
      </c>
      <c r="S23" s="1">
        <f>G23</f>
        <v>2.7779999996710103E-2</v>
      </c>
    </row>
    <row r="24" spans="1:19" x14ac:dyDescent="0.2">
      <c r="A24" s="30" t="s">
        <v>50</v>
      </c>
      <c r="B24" s="29" t="s">
        <v>49</v>
      </c>
      <c r="C24" s="30">
        <v>56727.303039999999</v>
      </c>
      <c r="D24" s="30">
        <v>2.0000000000000001E-4</v>
      </c>
      <c r="E24" s="31">
        <f t="shared" si="0"/>
        <v>1574.0023894168437</v>
      </c>
      <c r="F24" s="1">
        <f t="shared" si="1"/>
        <v>1574</v>
      </c>
      <c r="G24" s="1">
        <f t="shared" si="2"/>
        <v>1.315999999496853E-2</v>
      </c>
      <c r="K24" s="1">
        <f t="shared" si="5"/>
        <v>1.315999999496853E-2</v>
      </c>
      <c r="O24" s="1">
        <f t="shared" ca="1" si="3"/>
        <v>1.4684656760538227E-2</v>
      </c>
      <c r="Q24" s="42">
        <f t="shared" si="4"/>
        <v>41708.803039999999</v>
      </c>
      <c r="R24" s="1">
        <f t="shared" ref="R24:R32" si="6">G24</f>
        <v>1.315999999496853E-2</v>
      </c>
    </row>
    <row r="25" spans="1:19" x14ac:dyDescent="0.2">
      <c r="A25" s="32" t="s">
        <v>52</v>
      </c>
      <c r="B25" s="31"/>
      <c r="C25" s="30">
        <v>57079.793700000002</v>
      </c>
      <c r="D25" s="30">
        <v>3.0000000000000001E-3</v>
      </c>
      <c r="E25" s="31">
        <f t="shared" si="0"/>
        <v>1638.0029304854002</v>
      </c>
      <c r="F25" s="1">
        <f t="shared" si="1"/>
        <v>1638</v>
      </c>
      <c r="G25" s="1">
        <f t="shared" si="2"/>
        <v>1.6139999999722932E-2</v>
      </c>
      <c r="K25" s="1">
        <f t="shared" si="5"/>
        <v>1.6139999999722932E-2</v>
      </c>
      <c r="O25" s="1">
        <f t="shared" ca="1" si="3"/>
        <v>1.6581425557340435E-2</v>
      </c>
      <c r="Q25" s="42">
        <f t="shared" si="4"/>
        <v>42061.293700000002</v>
      </c>
      <c r="R25" s="1">
        <f t="shared" si="6"/>
        <v>1.6139999999722932E-2</v>
      </c>
    </row>
    <row r="26" spans="1:19" x14ac:dyDescent="0.2">
      <c r="A26" s="32" t="s">
        <v>53</v>
      </c>
      <c r="B26" s="29"/>
      <c r="C26" s="30">
        <v>57448.806700000001</v>
      </c>
      <c r="D26" s="30">
        <v>2.9999999999999997E-4</v>
      </c>
      <c r="E26" s="31">
        <f t="shared" si="0"/>
        <v>1705.0033771393087</v>
      </c>
      <c r="F26" s="1">
        <f t="shared" si="1"/>
        <v>1705</v>
      </c>
      <c r="G26" s="1">
        <f t="shared" si="2"/>
        <v>1.8599999995785765E-2</v>
      </c>
      <c r="K26" s="1">
        <f t="shared" si="5"/>
        <v>1.8599999995785765E-2</v>
      </c>
      <c r="O26" s="1">
        <f t="shared" ref="O26:O28" ca="1" si="7">+C$11+C$12*$F26</f>
        <v>1.8567105391492741E-2</v>
      </c>
      <c r="Q26" s="42">
        <f t="shared" si="4"/>
        <v>42430.306700000001</v>
      </c>
      <c r="R26" s="1">
        <f t="shared" si="6"/>
        <v>1.8599999995785765E-2</v>
      </c>
    </row>
    <row r="27" spans="1:19" x14ac:dyDescent="0.2">
      <c r="A27" s="33" t="s">
        <v>54</v>
      </c>
      <c r="B27" s="34" t="s">
        <v>49</v>
      </c>
      <c r="C27" s="35">
        <v>57465.3272</v>
      </c>
      <c r="D27" s="35" t="s">
        <v>55</v>
      </c>
      <c r="E27" s="31">
        <f t="shared" ref="E27:E32" si="8">+(C27-C$7)/C$8</f>
        <v>1708.0029486420626</v>
      </c>
      <c r="F27" s="1">
        <f t="shared" si="1"/>
        <v>1708</v>
      </c>
      <c r="G27" s="1">
        <f t="shared" ref="G27:G32" si="9">+C27-(C$7+F27*C$8)</f>
        <v>1.6239999997196719E-2</v>
      </c>
      <c r="K27" s="1">
        <f t="shared" si="5"/>
        <v>1.6239999997196719E-2</v>
      </c>
      <c r="O27" s="1">
        <f t="shared" ca="1" si="7"/>
        <v>1.8656016428842848E-2</v>
      </c>
      <c r="Q27" s="42">
        <f t="shared" ref="Q27:Q32" si="10">+C27-15018.5</f>
        <v>42446.8272</v>
      </c>
      <c r="R27" s="1">
        <f t="shared" si="6"/>
        <v>1.6239999997196719E-2</v>
      </c>
    </row>
    <row r="28" spans="1:19" x14ac:dyDescent="0.2">
      <c r="A28" s="36" t="s">
        <v>56</v>
      </c>
      <c r="B28" s="37" t="s">
        <v>49</v>
      </c>
      <c r="C28" s="38">
        <v>57812.311900000001</v>
      </c>
      <c r="D28" s="38">
        <v>1.9E-3</v>
      </c>
      <c r="E28" s="31">
        <f t="shared" si="8"/>
        <v>1771.0037911112238</v>
      </c>
      <c r="F28" s="1">
        <f t="shared" si="1"/>
        <v>1771</v>
      </c>
      <c r="G28" s="1">
        <f t="shared" si="9"/>
        <v>2.0879999996395782E-2</v>
      </c>
      <c r="K28" s="1">
        <f t="shared" si="5"/>
        <v>2.0879999996395782E-2</v>
      </c>
      <c r="O28" s="1">
        <f t="shared" ca="1" si="7"/>
        <v>2.0523148213195015E-2</v>
      </c>
      <c r="Q28" s="42">
        <f t="shared" si="10"/>
        <v>42793.811900000001</v>
      </c>
      <c r="R28" s="1">
        <f t="shared" si="6"/>
        <v>2.0879999996395782E-2</v>
      </c>
    </row>
    <row r="29" spans="1:19" x14ac:dyDescent="0.2">
      <c r="A29" s="39" t="s">
        <v>57</v>
      </c>
      <c r="B29" s="40" t="s">
        <v>49</v>
      </c>
      <c r="C29" s="41">
        <v>58908.333356999792</v>
      </c>
      <c r="D29" s="41">
        <v>7.5799999999999999E-4</v>
      </c>
      <c r="E29" s="31">
        <f t="shared" si="8"/>
        <v>1970.004712924964</v>
      </c>
      <c r="F29" s="1">
        <f>ROUND(2*E29,0)/2</f>
        <v>1970</v>
      </c>
      <c r="G29" s="1">
        <f t="shared" si="9"/>
        <v>2.5956999787013046E-2</v>
      </c>
      <c r="K29" s="1">
        <f>+G29</f>
        <v>2.5956999787013046E-2</v>
      </c>
      <c r="O29" s="1">
        <f t="shared" ref="O29:O32" ca="1" si="11">+C$11+C$12*$F29</f>
        <v>2.642091369075187E-2</v>
      </c>
      <c r="Q29" s="42">
        <f t="shared" si="10"/>
        <v>43889.833356999792</v>
      </c>
      <c r="R29" s="1">
        <f t="shared" si="6"/>
        <v>2.5956999787013046E-2</v>
      </c>
    </row>
    <row r="30" spans="1:19" x14ac:dyDescent="0.2">
      <c r="A30" s="39" t="s">
        <v>57</v>
      </c>
      <c r="B30" s="40" t="s">
        <v>49</v>
      </c>
      <c r="C30" s="41">
        <v>58908.334234999958</v>
      </c>
      <c r="D30" s="41">
        <v>6.0999999999999997E-4</v>
      </c>
      <c r="E30" s="31">
        <f t="shared" si="8"/>
        <v>1970.0048723404948</v>
      </c>
      <c r="F30" s="1">
        <f>ROUND(2*E30,0)/2</f>
        <v>1970</v>
      </c>
      <c r="G30" s="1">
        <f t="shared" si="9"/>
        <v>2.6834999953280203E-2</v>
      </c>
      <c r="K30" s="1">
        <f>+G30</f>
        <v>2.6834999953280203E-2</v>
      </c>
      <c r="O30" s="1">
        <f t="shared" ca="1" si="11"/>
        <v>2.642091369075187E-2</v>
      </c>
      <c r="Q30" s="42">
        <f t="shared" si="10"/>
        <v>43889.834234999958</v>
      </c>
      <c r="R30" s="1">
        <f t="shared" si="6"/>
        <v>2.6834999953280203E-2</v>
      </c>
    </row>
    <row r="31" spans="1:19" x14ac:dyDescent="0.2">
      <c r="A31" s="39" t="s">
        <v>57</v>
      </c>
      <c r="B31" s="40" t="s">
        <v>49</v>
      </c>
      <c r="C31" s="41">
        <v>58908.334263000172</v>
      </c>
      <c r="D31" s="41">
        <v>8.3600000000000005E-4</v>
      </c>
      <c r="E31" s="31">
        <f t="shared" si="8"/>
        <v>1970.0048774243992</v>
      </c>
      <c r="F31" s="1">
        <f>ROUND(2*E31,0)/2</f>
        <v>1970</v>
      </c>
      <c r="G31" s="1">
        <f t="shared" si="9"/>
        <v>2.6863000166486017E-2</v>
      </c>
      <c r="K31" s="1">
        <f>+G31</f>
        <v>2.6863000166486017E-2</v>
      </c>
      <c r="O31" s="1">
        <f t="shared" ca="1" si="11"/>
        <v>2.642091369075187E-2</v>
      </c>
      <c r="Q31" s="42">
        <f t="shared" si="10"/>
        <v>43889.834263000172</v>
      </c>
      <c r="R31" s="1">
        <f t="shared" si="6"/>
        <v>2.6863000166486017E-2</v>
      </c>
    </row>
    <row r="32" spans="1:19" x14ac:dyDescent="0.2">
      <c r="A32" s="39" t="s">
        <v>57</v>
      </c>
      <c r="B32" s="40" t="s">
        <v>49</v>
      </c>
      <c r="C32" s="41">
        <v>58908.334728999995</v>
      </c>
      <c r="D32" s="41">
        <v>9.1299999999999997E-4</v>
      </c>
      <c r="E32" s="31">
        <f t="shared" si="8"/>
        <v>1970.0049620344164</v>
      </c>
      <c r="F32" s="1">
        <f>ROUND(2*E32,0)/2</f>
        <v>1970</v>
      </c>
      <c r="G32" s="1">
        <f t="shared" si="9"/>
        <v>2.7328999989549629E-2</v>
      </c>
      <c r="K32" s="1">
        <f>+G32</f>
        <v>2.7328999989549629E-2</v>
      </c>
      <c r="O32" s="1">
        <f t="shared" ca="1" si="11"/>
        <v>2.642091369075187E-2</v>
      </c>
      <c r="Q32" s="42">
        <f t="shared" si="10"/>
        <v>43889.834728999995</v>
      </c>
      <c r="R32" s="1">
        <f t="shared" si="6"/>
        <v>2.7328999989549629E-2</v>
      </c>
    </row>
    <row r="33" spans="1:18" x14ac:dyDescent="0.2">
      <c r="A33" s="43" t="s">
        <v>58</v>
      </c>
      <c r="B33" s="44" t="s">
        <v>49</v>
      </c>
      <c r="C33" s="45">
        <v>59233.285399999935</v>
      </c>
      <c r="D33" s="43" t="s">
        <v>60</v>
      </c>
      <c r="E33" s="31">
        <f t="shared" ref="E33:E34" si="12">+(C33-C$7)/C$8</f>
        <v>2029.0051601235984</v>
      </c>
      <c r="F33" s="1">
        <f t="shared" ref="F33:F34" si="13">ROUND(2*E33,0)/2</f>
        <v>2029</v>
      </c>
      <c r="G33" s="1">
        <f t="shared" ref="G33:G34" si="14">+C33-(C$7+F33*C$8)</f>
        <v>2.841999992961064E-2</v>
      </c>
      <c r="K33" s="1">
        <f t="shared" ref="K33:K34" si="15">+G33</f>
        <v>2.841999992961064E-2</v>
      </c>
      <c r="O33" s="1">
        <f t="shared" ref="O33:O34" ca="1" si="16">+C$11+C$12*$F33</f>
        <v>2.8169497425303898E-2</v>
      </c>
      <c r="Q33" s="42">
        <f t="shared" ref="Q33:Q34" si="17">+C33-15018.5</f>
        <v>44214.785399999935</v>
      </c>
      <c r="R33" s="1">
        <f t="shared" ref="R33:R34" si="18">G33</f>
        <v>2.841999992961064E-2</v>
      </c>
    </row>
    <row r="34" spans="1:18" x14ac:dyDescent="0.2">
      <c r="A34" s="43" t="s">
        <v>59</v>
      </c>
      <c r="B34" s="44" t="s">
        <v>49</v>
      </c>
      <c r="C34" s="45">
        <v>59266.331599999998</v>
      </c>
      <c r="D34" s="43">
        <v>2.3E-3</v>
      </c>
      <c r="E34" s="31">
        <f t="shared" si="12"/>
        <v>2035.005247275592</v>
      </c>
      <c r="F34" s="1">
        <f t="shared" si="13"/>
        <v>2035</v>
      </c>
      <c r="G34" s="1">
        <f t="shared" si="14"/>
        <v>2.8899999997520354E-2</v>
      </c>
      <c r="K34" s="1">
        <f t="shared" si="15"/>
        <v>2.8899999997520354E-2</v>
      </c>
      <c r="O34" s="1">
        <f t="shared" ca="1" si="16"/>
        <v>2.8347319500004103E-2</v>
      </c>
      <c r="Q34" s="42">
        <f t="shared" si="17"/>
        <v>44247.831599999998</v>
      </c>
      <c r="R34" s="1">
        <f t="shared" si="18"/>
        <v>2.8899999997520354E-2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2023-01-25T05:15:46Z</dcterms:created>
  <dcterms:modified xsi:type="dcterms:W3CDTF">2023-01-25T05:16:06Z</dcterms:modified>
</cp:coreProperties>
</file>