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F6A1824-B8E9-41D7-B337-8E4FA64A915A}" xr6:coauthVersionLast="47" xr6:coauthVersionMax="47" xr10:uidLastSave="{00000000-0000-0000-0000-000000000000}"/>
  <bookViews>
    <workbookView xWindow="13365" yWindow="1050" windowWidth="13320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5" i="1" l="1"/>
  <c r="F55" i="1" s="1"/>
  <c r="G55" i="1" s="1"/>
  <c r="K55" i="1" s="1"/>
  <c r="Q55" i="1"/>
  <c r="E56" i="1"/>
  <c r="F56" i="1"/>
  <c r="G56" i="1" s="1"/>
  <c r="K56" i="1" s="1"/>
  <c r="Q56" i="1"/>
  <c r="E57" i="1"/>
  <c r="F57" i="1"/>
  <c r="G57" i="1"/>
  <c r="K57" i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/>
  <c r="G61" i="1"/>
  <c r="K61" i="1"/>
  <c r="Q61" i="1"/>
  <c r="C9" i="1"/>
  <c r="D9" i="1"/>
  <c r="F16" i="1"/>
  <c r="C17" i="1"/>
  <c r="E21" i="1"/>
  <c r="F21" i="1"/>
  <c r="G21" i="1"/>
  <c r="H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J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K37" i="1"/>
  <c r="Q37" i="1"/>
  <c r="E38" i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E43" i="1"/>
  <c r="F43" i="1"/>
  <c r="G43" i="1"/>
  <c r="K43" i="1"/>
  <c r="Q43" i="1"/>
  <c r="E44" i="1"/>
  <c r="F44" i="1"/>
  <c r="G44" i="1"/>
  <c r="K44" i="1"/>
  <c r="Q44" i="1"/>
  <c r="E45" i="1"/>
  <c r="F45" i="1"/>
  <c r="G45" i="1"/>
  <c r="K45" i="1"/>
  <c r="Q45" i="1"/>
  <c r="E46" i="1"/>
  <c r="F46" i="1"/>
  <c r="G46" i="1"/>
  <c r="K46" i="1"/>
  <c r="Q46" i="1"/>
  <c r="E47" i="1"/>
  <c r="F47" i="1"/>
  <c r="G47" i="1"/>
  <c r="K47" i="1"/>
  <c r="Q47" i="1"/>
  <c r="E48" i="1"/>
  <c r="F48" i="1"/>
  <c r="G48" i="1"/>
  <c r="K48" i="1"/>
  <c r="Q48" i="1"/>
  <c r="E49" i="1"/>
  <c r="F49" i="1"/>
  <c r="G49" i="1"/>
  <c r="K49" i="1"/>
  <c r="Q49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Q54" i="1"/>
  <c r="A11" i="2"/>
  <c r="C11" i="2"/>
  <c r="E11" i="2"/>
  <c r="D11" i="2"/>
  <c r="G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C15" i="2"/>
  <c r="E15" i="2"/>
  <c r="D15" i="2"/>
  <c r="G15" i="2"/>
  <c r="H15" i="2"/>
  <c r="B15" i="2"/>
  <c r="A16" i="2"/>
  <c r="B16" i="2"/>
  <c r="C16" i="2"/>
  <c r="D16" i="2"/>
  <c r="E16" i="2"/>
  <c r="G16" i="2"/>
  <c r="H16" i="2"/>
  <c r="A17" i="2"/>
  <c r="B17" i="2"/>
  <c r="D17" i="2"/>
  <c r="G17" i="2"/>
  <c r="C17" i="2"/>
  <c r="E17" i="2"/>
  <c r="H17" i="2"/>
  <c r="A18" i="2"/>
  <c r="B18" i="2"/>
  <c r="D18" i="2"/>
  <c r="G18" i="2"/>
  <c r="C18" i="2"/>
  <c r="E18" i="2"/>
  <c r="H18" i="2"/>
  <c r="A19" i="2"/>
  <c r="C19" i="2"/>
  <c r="E19" i="2"/>
  <c r="D19" i="2"/>
  <c r="G19" i="2"/>
  <c r="H19" i="2"/>
  <c r="B19" i="2"/>
  <c r="A20" i="2"/>
  <c r="D20" i="2"/>
  <c r="G20" i="2"/>
  <c r="C20" i="2"/>
  <c r="E20" i="2"/>
  <c r="H20" i="2"/>
  <c r="B20" i="2"/>
  <c r="A21" i="2"/>
  <c r="B21" i="2"/>
  <c r="D21" i="2"/>
  <c r="G21" i="2"/>
  <c r="C21" i="2"/>
  <c r="E21" i="2"/>
  <c r="H21" i="2"/>
  <c r="A22" i="2"/>
  <c r="D22" i="2"/>
  <c r="G22" i="2"/>
  <c r="C22" i="2"/>
  <c r="E22" i="2"/>
  <c r="H22" i="2"/>
  <c r="B22" i="2"/>
  <c r="A23" i="2"/>
  <c r="C23" i="2"/>
  <c r="E23" i="2"/>
  <c r="D23" i="2"/>
  <c r="G23" i="2"/>
  <c r="H23" i="2"/>
  <c r="B23" i="2"/>
  <c r="C11" i="1"/>
  <c r="C12" i="1"/>
  <c r="O57" i="1" l="1"/>
  <c r="O61" i="1"/>
  <c r="O56" i="1"/>
  <c r="O60" i="1"/>
  <c r="O55" i="1"/>
  <c r="O59" i="1"/>
  <c r="O58" i="1"/>
  <c r="C16" i="1"/>
  <c r="D18" i="1" s="1"/>
  <c r="O48" i="1"/>
  <c r="O45" i="1"/>
  <c r="C15" i="1"/>
  <c r="O29" i="1"/>
  <c r="O47" i="1"/>
  <c r="O50" i="1"/>
  <c r="O53" i="1"/>
  <c r="O24" i="1"/>
  <c r="O46" i="1"/>
  <c r="O22" i="1"/>
  <c r="O23" i="1"/>
  <c r="O27" i="1"/>
  <c r="O51" i="1"/>
  <c r="O21" i="1"/>
  <c r="O25" i="1"/>
  <c r="O39" i="1"/>
  <c r="O37" i="1"/>
  <c r="O30" i="1"/>
  <c r="O33" i="1"/>
  <c r="O54" i="1"/>
  <c r="O28" i="1"/>
  <c r="O35" i="1"/>
  <c r="O32" i="1"/>
  <c r="O36" i="1"/>
  <c r="O40" i="1"/>
  <c r="O44" i="1"/>
  <c r="O34" i="1"/>
  <c r="O41" i="1"/>
  <c r="O38" i="1"/>
  <c r="O49" i="1"/>
  <c r="O52" i="1"/>
  <c r="O43" i="1"/>
  <c r="O31" i="1"/>
  <c r="O42" i="1"/>
  <c r="O26" i="1"/>
  <c r="F17" i="1"/>
  <c r="F18" i="1" l="1"/>
  <c r="F19" i="1" s="1"/>
  <c r="C18" i="1"/>
</calcChain>
</file>

<file path=xl/sharedStrings.xml><?xml version="1.0" encoding="utf-8"?>
<sst xmlns="http://schemas.openxmlformats.org/spreadsheetml/2006/main" count="254" uniqueCount="140">
  <si>
    <t>QT UMa / GSC 3429-0424</t>
  </si>
  <si>
    <t>System Type:</t>
  </si>
  <si>
    <t>EW</t>
  </si>
  <si>
    <t>UMa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</si>
  <si>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</si>
  <si>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</si>
  <si>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</si>
  <si>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</si>
  <si>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</si>
  <si>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</si>
  <si>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</si>
  <si>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</si>
  <si>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</si>
  <si>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</si>
  <si>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</si>
  <si>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</si>
  <si>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</si>
  <si>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</si>
  <si>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</si>
  <si>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</si>
  <si>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</si>
  <si>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</si>
  <si>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</si>
  <si>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</si>
  <si>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</si>
  <si>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</si>
  <si>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</si>
  <si>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</si>
  <si>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</si>
  <si>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</si>
  <si>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</si>
  <si>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</si>
  <si>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</si>
  <si>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</si>
  <si>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</si>
  <si>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</si>
  <si>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</si>
  <si>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</si>
  <si>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</si>
  <si>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</si>
  <si>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</si>
  <si>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</si>
  <si>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</si>
  <si>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</si>
  <si>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</si>
  <si>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6050</t>
  </si>
  <si>
    <t>IBVS 6029</t>
  </si>
  <si>
    <t>II</t>
  </si>
  <si>
    <t>IBVS 6084</t>
  </si>
  <si>
    <t>I</t>
  </si>
  <si>
    <t>IBVS 6063</t>
  </si>
  <si>
    <t>IBVS 6118</t>
  </si>
  <si>
    <t>IBVS 6149</t>
  </si>
  <si>
    <t>OEJV 0168</t>
  </si>
  <si>
    <t>IBVS 6157</t>
  </si>
  <si>
    <t>IBVS 6152</t>
  </si>
  <si>
    <t>IBVS 6196</t>
  </si>
  <si>
    <t>VSB 060</t>
  </si>
  <si>
    <t>Rc</t>
  </si>
  <si>
    <t>OEJV 0179</t>
  </si>
  <si>
    <t>JAVSO..44..164</t>
  </si>
  <si>
    <t>JAVSO..44…69</t>
  </si>
  <si>
    <t>VSB-064</t>
  </si>
  <si>
    <t>V</t>
  </si>
  <si>
    <t>VSB-066</t>
  </si>
  <si>
    <t>JAVSO..46..184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</si>
  <si>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</si>
  <si>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</si>
  <si>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</si>
  <si>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</si>
  <si>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</si>
  <si>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</si>
  <si>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</si>
  <si>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2455932.8144 </t>
  </si>
  <si>
    <t> 06.01.2012 07:32 </t>
  </si>
  <si>
    <t> -0.0843 </t>
  </si>
  <si>
    <t>C </t>
  </si>
  <si>
    <t> R.Nelson </t>
  </si>
  <si>
    <t>IBVS 6050 </t>
  </si>
  <si>
    <t>2455944.8923 </t>
  </si>
  <si>
    <t> 18.01.2012 09:24 </t>
  </si>
  <si>
    <t> -0.0812 </t>
  </si>
  <si>
    <t> R.Diethelm </t>
  </si>
  <si>
    <t>IBVS 6029 </t>
  </si>
  <si>
    <t>2456002.6601 </t>
  </si>
  <si>
    <t> 16.03.2012 03:50 </t>
  </si>
  <si>
    <t> -0.0831 </t>
  </si>
  <si>
    <t>-I</t>
  </si>
  <si>
    <t> K. &amp; M.Rätz </t>
  </si>
  <si>
    <t>BAVM 232 </t>
  </si>
  <si>
    <t>2456029.6547 </t>
  </si>
  <si>
    <t> 12.04.2012 03:42 </t>
  </si>
  <si>
    <t>9431</t>
  </si>
  <si>
    <t> -0.0793 </t>
  </si>
  <si>
    <t>2456311.8814 </t>
  </si>
  <si>
    <t> 19.01.2013 09:09 </t>
  </si>
  <si>
    <t>10027</t>
  </si>
  <si>
    <t> -0.0717 </t>
  </si>
  <si>
    <t>IBVS 6063 </t>
  </si>
  <si>
    <t>2456698.5269 </t>
  </si>
  <si>
    <t> 10.02.2014 00:38 </t>
  </si>
  <si>
    <t>10843.5</t>
  </si>
  <si>
    <t> -0.0569 </t>
  </si>
  <si>
    <t> F.Agerer </t>
  </si>
  <si>
    <t>BAVM 234 </t>
  </si>
  <si>
    <t>2456706.5770 </t>
  </si>
  <si>
    <t> 18.02.2014 01:50 </t>
  </si>
  <si>
    <t>10860.5</t>
  </si>
  <si>
    <t> -0.0567 </t>
  </si>
  <si>
    <t>BAVM 238 </t>
  </si>
  <si>
    <t>2456709.4202 </t>
  </si>
  <si>
    <t> 20.02.2014 22:05 </t>
  </si>
  <si>
    <t>10866.5</t>
  </si>
  <si>
    <t> -0.0546 </t>
  </si>
  <si>
    <t>2456711.3104 </t>
  </si>
  <si>
    <t> 22.02.2014 19:26 </t>
  </si>
  <si>
    <t>10870.5</t>
  </si>
  <si>
    <t> -0.0585 </t>
  </si>
  <si>
    <t>2456728.5957 </t>
  </si>
  <si>
    <t> 12.03.2014 02:17 </t>
  </si>
  <si>
    <t>10907</t>
  </si>
  <si>
    <t> -0.0568 </t>
  </si>
  <si>
    <t> M.&amp; K.Rätz </t>
  </si>
  <si>
    <t>BAVM 241 (=IBVS 6157) </t>
  </si>
  <si>
    <t>2457035.4491 </t>
  </si>
  <si>
    <t> 12.01.2015 22:46 </t>
  </si>
  <si>
    <t>11555</t>
  </si>
  <si>
    <t> -0.0456 </t>
  </si>
  <si>
    <t>BAVM 239 </t>
  </si>
  <si>
    <t>2457035.6872 </t>
  </si>
  <si>
    <t> 13.01.2015 04:29 </t>
  </si>
  <si>
    <t>11555.5</t>
  </si>
  <si>
    <t> -0.0443 </t>
  </si>
  <si>
    <t>2457090.3807 </t>
  </si>
  <si>
    <t> 08.03.2015 21:08 </t>
  </si>
  <si>
    <t>11671</t>
  </si>
  <si>
    <t> -0.0426 </t>
  </si>
  <si>
    <t>JBAV, 60</t>
  </si>
  <si>
    <t>JBAV, 63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</si>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</sst>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0"/>
    <numFmt numFmtId="169" formatCode="d/mm/yyyy;@"/>
    <numFmt numFmtId="170" formatCode="0.00000"/>
  </numFmts>
  <fonts count="16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8" fillId="0" borderId="0" xfId="6" applyFont="1" applyBorder="1" applyAlignment="1">
      <alignment wrapText="1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left" wrapText="1"/>
    </xf>
    <xf numFmtId="0" fontId="8" fillId="0" borderId="0" xfId="6" applyFont="1" applyBorder="1" applyAlignment="1">
      <alignment horizontal="left"/>
    </xf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8" fillId="0" borderId="0" xfId="7" applyFont="1" applyBorder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10" fillId="0" borderId="0" xfId="8" applyFont="1" applyAlignment="1">
      <alignment horizontal="left"/>
    </xf>
    <xf numFmtId="0" fontId="10" fillId="0" borderId="0" xfId="8" applyFont="1" applyBorder="1" applyAlignment="1">
      <alignment horizontal="center"/>
    </xf>
    <xf numFmtId="167" fontId="10" fillId="0" borderId="0" xfId="8" applyNumberFormat="1" applyFont="1" applyFill="1" applyBorder="1" applyAlignment="1" applyProtection="1">
      <alignment horizontal="left" vertical="top"/>
    </xf>
    <xf numFmtId="0" fontId="10" fillId="0" borderId="0" xfId="8" applyNumberFormat="1" applyFont="1" applyFill="1" applyBorder="1" applyAlignment="1" applyProtection="1">
      <alignment horizontal="left" vertical="top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8" fillId="3" borderId="12" xfId="0" applyFont="1" applyFill="1" applyBorder="1" applyAlignment="1">
      <alignment horizontal="left" vertical="top" wrapText="1" indent="1"/>
    </xf>
    <xf numFmtId="0" fontId="8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right" vertical="top" wrapText="1"/>
    </xf>
    <xf numFmtId="0" fontId="13" fillId="3" borderId="12" xfId="5" applyNumberFormat="1" applyFont="1" applyFill="1" applyBorder="1" applyAlignment="1" applyProtection="1">
      <alignment horizontal="right" vertical="top" wrapText="1"/>
    </xf>
    <xf numFmtId="169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70" fontId="15" fillId="0" borderId="0" xfId="0" applyNumberFormat="1" applyFont="1" applyAlignment="1">
      <alignment vertical="center" wrapText="1"/>
    </xf>
    <xf numFmtId="0" fontId="7" fillId="0" borderId="0" xfId="0" applyFont="1" applyFill="1" applyAlignment="1"/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233082706767"/>
          <c:y val="0.22822889753688513"/>
          <c:w val="0.822556390977443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Active!$H$21:$H$54</c:f>
              <c:numCache>
                <c:formatCode>General</c:formatCode>
                <c:ptCount val="3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1-4F82-BFD5-A642D5693D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Active!$I$21:$I$54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1-4F82-BFD5-A642D5693D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Active!$J$21:$J$54</c:f>
              <c:numCache>
                <c:formatCode>General</c:formatCode>
                <c:ptCount val="34"/>
                <c:pt idx="3">
                  <c:v>0.20098519999737618</c:v>
                </c:pt>
                <c:pt idx="6">
                  <c:v>0.22720619999745395</c:v>
                </c:pt>
                <c:pt idx="7">
                  <c:v>0.2274321999939275</c:v>
                </c:pt>
                <c:pt idx="8">
                  <c:v>0.22950019999552751</c:v>
                </c:pt>
                <c:pt idx="9">
                  <c:v>0.22561220000352478</c:v>
                </c:pt>
                <c:pt idx="12">
                  <c:v>0.22735919999831822</c:v>
                </c:pt>
                <c:pt idx="13">
                  <c:v>0.23850319999473868</c:v>
                </c:pt>
                <c:pt idx="14">
                  <c:v>0.23984219999692868</c:v>
                </c:pt>
                <c:pt idx="15">
                  <c:v>0.24155120000068564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81-4F82-BFD5-A642D5693D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Active!$K$21:$K$54</c:f>
              <c:numCache>
                <c:formatCode>General</c:formatCode>
                <c:ptCount val="34"/>
                <c:pt idx="1">
                  <c:v>0.19978020000417018</c:v>
                </c:pt>
                <c:pt idx="2">
                  <c:v>0.20286919999489328</c:v>
                </c:pt>
                <c:pt idx="4">
                  <c:v>0.20483119999698829</c:v>
                </c:pt>
                <c:pt idx="5">
                  <c:v>0.21241919999738457</c:v>
                </c:pt>
                <c:pt idx="10">
                  <c:v>0.22838020000199322</c:v>
                </c:pt>
                <c:pt idx="11">
                  <c:v>0.22859020000032615</c:v>
                </c:pt>
                <c:pt idx="16">
                  <c:v>0.2436602000016137</c:v>
                </c:pt>
                <c:pt idx="17">
                  <c:v>0.24299320000136504</c:v>
                </c:pt>
                <c:pt idx="18">
                  <c:v>0.25266220000048634</c:v>
                </c:pt>
                <c:pt idx="19">
                  <c:v>0.25430120000237366</c:v>
                </c:pt>
                <c:pt idx="20">
                  <c:v>0.25601520000054734</c:v>
                </c:pt>
                <c:pt idx="21">
                  <c:v>0.25632719999703113</c:v>
                </c:pt>
                <c:pt idx="22">
                  <c:v>0.2571892000050866</c:v>
                </c:pt>
                <c:pt idx="23">
                  <c:v>0.25504820000060135</c:v>
                </c:pt>
                <c:pt idx="24">
                  <c:v>0.23976720000064233</c:v>
                </c:pt>
                <c:pt idx="25">
                  <c:v>0.23920619999989867</c:v>
                </c:pt>
                <c:pt idx="26">
                  <c:v>0.25503720000415342</c:v>
                </c:pt>
                <c:pt idx="27">
                  <c:v>0.25838719999592286</c:v>
                </c:pt>
                <c:pt idx="28">
                  <c:v>0.27151020000019344</c:v>
                </c:pt>
                <c:pt idx="29">
                  <c:v>0.28488020018994575</c:v>
                </c:pt>
                <c:pt idx="30">
                  <c:v>0.28738320000411477</c:v>
                </c:pt>
                <c:pt idx="31">
                  <c:v>0.2702461998705985</c:v>
                </c:pt>
                <c:pt idx="32">
                  <c:v>0.27207520000229124</c:v>
                </c:pt>
                <c:pt idx="33">
                  <c:v>0.27381420000165235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81-4F82-BFD5-A642D5693D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Active!$L$21:$L$54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81-4F82-BFD5-A642D5693D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Active!$M$21:$M$54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81-4F82-BFD5-A642D5693D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Active!$N$21:$N$54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81-4F82-BFD5-A642D5693D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Active!$O$21:$O$54</c:f>
              <c:numCache>
                <c:formatCode>General</c:formatCode>
                <c:ptCount val="34"/>
                <c:pt idx="0">
                  <c:v>2.9160953595525452E-2</c:v>
                </c:pt>
                <c:pt idx="1">
                  <c:v>0.19805798519119466</c:v>
                </c:pt>
                <c:pt idx="2">
                  <c:v>0.19852480443091822</c:v>
                </c:pt>
                <c:pt idx="3">
                  <c:v>0.20075821412685055</c:v>
                </c:pt>
                <c:pt idx="4">
                  <c:v>0.20180169242740909</c:v>
                </c:pt>
                <c:pt idx="5">
                  <c:v>0.21271244799114408</c:v>
                </c:pt>
                <c:pt idx="6">
                  <c:v>0.22765981698072393</c:v>
                </c:pt>
                <c:pt idx="7">
                  <c:v>0.22797102980720632</c:v>
                </c:pt>
                <c:pt idx="8">
                  <c:v>0.22808086962831775</c:v>
                </c:pt>
                <c:pt idx="9">
                  <c:v>0.22815409617572535</c:v>
                </c:pt>
                <c:pt idx="10">
                  <c:v>0.22881313510239393</c:v>
                </c:pt>
                <c:pt idx="11">
                  <c:v>0.22881313510239393</c:v>
                </c:pt>
                <c:pt idx="12">
                  <c:v>0.22882228842081986</c:v>
                </c:pt>
                <c:pt idx="13">
                  <c:v>0.24068498910085387</c:v>
                </c:pt>
                <c:pt idx="14">
                  <c:v>0.24069414241927981</c:v>
                </c:pt>
                <c:pt idx="15">
                  <c:v>0.24280855897567477</c:v>
                </c:pt>
                <c:pt idx="16">
                  <c:v>0.2440076436894745</c:v>
                </c:pt>
                <c:pt idx="17">
                  <c:v>0.24443784965549425</c:v>
                </c:pt>
                <c:pt idx="18">
                  <c:v>0.25424105368968902</c:v>
                </c:pt>
                <c:pt idx="19">
                  <c:v>0.25425020700811496</c:v>
                </c:pt>
                <c:pt idx="20">
                  <c:v>0.25567812468256346</c:v>
                </c:pt>
                <c:pt idx="21">
                  <c:v>0.257307415362383</c:v>
                </c:pt>
                <c:pt idx="22">
                  <c:v>0.25765524146256913</c:v>
                </c:pt>
                <c:pt idx="23">
                  <c:v>0.2585797266235903</c:v>
                </c:pt>
                <c:pt idx="24">
                  <c:v>0.24046530945863101</c:v>
                </c:pt>
                <c:pt idx="25">
                  <c:v>0.24047446277705697</c:v>
                </c:pt>
                <c:pt idx="26">
                  <c:v>0.25538521849293305</c:v>
                </c:pt>
                <c:pt idx="27">
                  <c:v>0.25858887994201629</c:v>
                </c:pt>
                <c:pt idx="28">
                  <c:v>0.27009460120343814</c:v>
                </c:pt>
                <c:pt idx="29">
                  <c:v>0.28501451023774016</c:v>
                </c:pt>
                <c:pt idx="30">
                  <c:v>0.28480398391394324</c:v>
                </c:pt>
                <c:pt idx="31">
                  <c:v>0.26921588263454677</c:v>
                </c:pt>
                <c:pt idx="32">
                  <c:v>0.27087263326964406</c:v>
                </c:pt>
                <c:pt idx="33">
                  <c:v>0.27207171798344382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81-4F82-BFD5-A642D569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1016"/>
        <c:axId val="1"/>
      </c:scatterChart>
      <c:valAx>
        <c:axId val="934891016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819548872180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1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08270676691728"/>
          <c:y val="0.91291543512015949"/>
          <c:w val="0.630075187969924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53758482892340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3082217591934"/>
          <c:y val="0.22754524283256169"/>
          <c:w val="0.82132252563480324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Active!$H$21:$H$54</c:f>
              <c:numCache>
                <c:formatCode>General</c:formatCode>
                <c:ptCount val="3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1-4F94-86F8-A11D146BC3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Active!$I$21:$I$54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1-4F94-86F8-A11D146BC3B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Active!$J$21:$J$54</c:f>
              <c:numCache>
                <c:formatCode>General</c:formatCode>
                <c:ptCount val="34"/>
                <c:pt idx="3">
                  <c:v>0.20098519999737618</c:v>
                </c:pt>
                <c:pt idx="6">
                  <c:v>0.22720619999745395</c:v>
                </c:pt>
                <c:pt idx="7">
                  <c:v>0.2274321999939275</c:v>
                </c:pt>
                <c:pt idx="8">
                  <c:v>0.22950019999552751</c:v>
                </c:pt>
                <c:pt idx="9">
                  <c:v>0.22561220000352478</c:v>
                </c:pt>
                <c:pt idx="12">
                  <c:v>0.22735919999831822</c:v>
                </c:pt>
                <c:pt idx="13">
                  <c:v>0.23850319999473868</c:v>
                </c:pt>
                <c:pt idx="14">
                  <c:v>0.23984219999692868</c:v>
                </c:pt>
                <c:pt idx="15">
                  <c:v>0.24155120000068564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1-4F94-86F8-A11D146BC3B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Active!$K$21:$K$54</c:f>
              <c:numCache>
                <c:formatCode>General</c:formatCode>
                <c:ptCount val="34"/>
                <c:pt idx="1">
                  <c:v>0.19978020000417018</c:v>
                </c:pt>
                <c:pt idx="2">
                  <c:v>0.20286919999489328</c:v>
                </c:pt>
                <c:pt idx="4">
                  <c:v>0.20483119999698829</c:v>
                </c:pt>
                <c:pt idx="5">
                  <c:v>0.21241919999738457</c:v>
                </c:pt>
                <c:pt idx="10">
                  <c:v>0.22838020000199322</c:v>
                </c:pt>
                <c:pt idx="11">
                  <c:v>0.22859020000032615</c:v>
                </c:pt>
                <c:pt idx="16">
                  <c:v>0.2436602000016137</c:v>
                </c:pt>
                <c:pt idx="17">
                  <c:v>0.24299320000136504</c:v>
                </c:pt>
                <c:pt idx="18">
                  <c:v>0.25266220000048634</c:v>
                </c:pt>
                <c:pt idx="19">
                  <c:v>0.25430120000237366</c:v>
                </c:pt>
                <c:pt idx="20">
                  <c:v>0.25601520000054734</c:v>
                </c:pt>
                <c:pt idx="21">
                  <c:v>0.25632719999703113</c:v>
                </c:pt>
                <c:pt idx="22">
                  <c:v>0.2571892000050866</c:v>
                </c:pt>
                <c:pt idx="23">
                  <c:v>0.25504820000060135</c:v>
                </c:pt>
                <c:pt idx="24">
                  <c:v>0.23976720000064233</c:v>
                </c:pt>
                <c:pt idx="25">
                  <c:v>0.23920619999989867</c:v>
                </c:pt>
                <c:pt idx="26">
                  <c:v>0.25503720000415342</c:v>
                </c:pt>
                <c:pt idx="27">
                  <c:v>0.25838719999592286</c:v>
                </c:pt>
                <c:pt idx="28">
                  <c:v>0.27151020000019344</c:v>
                </c:pt>
                <c:pt idx="29">
                  <c:v>0.28488020018994575</c:v>
                </c:pt>
                <c:pt idx="30">
                  <c:v>0.28738320000411477</c:v>
                </c:pt>
                <c:pt idx="31">
                  <c:v>0.2702461998705985</c:v>
                </c:pt>
                <c:pt idx="32">
                  <c:v>0.27207520000229124</c:v>
                </c:pt>
                <c:pt idx="33">
                  <c:v>0.27381420000165235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1-4F94-86F8-A11D146BC3B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Active!$L$21:$L$54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31-4F94-86F8-A11D146BC3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Active!$M$21:$M$54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31-4F94-86F8-A11D146BC3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Active!$N$21:$N$54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1-4F94-86F8-A11D146BC3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</c:numCache>
            </c:numRef>
          </c:xVal>
          <c:yVal>
            <c:numRef>
              <c:f>Active!$O$21:$O$54</c:f>
              <c:numCache>
                <c:formatCode>General</c:formatCode>
                <c:ptCount val="34"/>
                <c:pt idx="0">
                  <c:v>2.9160953595525452E-2</c:v>
                </c:pt>
                <c:pt idx="1">
                  <c:v>0.19805798519119466</c:v>
                </c:pt>
                <c:pt idx="2">
                  <c:v>0.19852480443091822</c:v>
                </c:pt>
                <c:pt idx="3">
                  <c:v>0.20075821412685055</c:v>
                </c:pt>
                <c:pt idx="4">
                  <c:v>0.20180169242740909</c:v>
                </c:pt>
                <c:pt idx="5">
                  <c:v>0.21271244799114408</c:v>
                </c:pt>
                <c:pt idx="6">
                  <c:v>0.22765981698072393</c:v>
                </c:pt>
                <c:pt idx="7">
                  <c:v>0.22797102980720632</c:v>
                </c:pt>
                <c:pt idx="8">
                  <c:v>0.22808086962831775</c:v>
                </c:pt>
                <c:pt idx="9">
                  <c:v>0.22815409617572535</c:v>
                </c:pt>
                <c:pt idx="10">
                  <c:v>0.22881313510239393</c:v>
                </c:pt>
                <c:pt idx="11">
                  <c:v>0.22881313510239393</c:v>
                </c:pt>
                <c:pt idx="12">
                  <c:v>0.22882228842081986</c:v>
                </c:pt>
                <c:pt idx="13">
                  <c:v>0.24068498910085387</c:v>
                </c:pt>
                <c:pt idx="14">
                  <c:v>0.24069414241927981</c:v>
                </c:pt>
                <c:pt idx="15">
                  <c:v>0.24280855897567477</c:v>
                </c:pt>
                <c:pt idx="16">
                  <c:v>0.2440076436894745</c:v>
                </c:pt>
                <c:pt idx="17">
                  <c:v>0.24443784965549425</c:v>
                </c:pt>
                <c:pt idx="18">
                  <c:v>0.25424105368968902</c:v>
                </c:pt>
                <c:pt idx="19">
                  <c:v>0.25425020700811496</c:v>
                </c:pt>
                <c:pt idx="20">
                  <c:v>0.25567812468256346</c:v>
                </c:pt>
                <c:pt idx="21">
                  <c:v>0.257307415362383</c:v>
                </c:pt>
                <c:pt idx="22">
                  <c:v>0.25765524146256913</c:v>
                </c:pt>
                <c:pt idx="23">
                  <c:v>0.2585797266235903</c:v>
                </c:pt>
                <c:pt idx="24">
                  <c:v>0.24046530945863101</c:v>
                </c:pt>
                <c:pt idx="25">
                  <c:v>0.24047446277705697</c:v>
                </c:pt>
                <c:pt idx="26">
                  <c:v>0.25538521849293305</c:v>
                </c:pt>
                <c:pt idx="27">
                  <c:v>0.25858887994201629</c:v>
                </c:pt>
                <c:pt idx="28">
                  <c:v>0.27009460120343814</c:v>
                </c:pt>
                <c:pt idx="29">
                  <c:v>0.28501451023774016</c:v>
                </c:pt>
                <c:pt idx="30">
                  <c:v>0.28480398391394324</c:v>
                </c:pt>
                <c:pt idx="31">
                  <c:v>0.26921588263454677</c:v>
                </c:pt>
                <c:pt idx="32">
                  <c:v>0.27087263326964406</c:v>
                </c:pt>
                <c:pt idx="33">
                  <c:v>0.27207171798344382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1-4F94-86F8-A11D146BC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8400"/>
        <c:axId val="1"/>
      </c:scatterChart>
      <c:valAx>
        <c:axId val="93490840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430170327805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8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23154650713704"/>
          <c:y val="0.91616892199852262"/>
          <c:w val="0.629130074956846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F462322-C1C9-A19B-91DC-78DCFC57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0</xdr:rowOff>
    </xdr:from>
    <xdr:to>
      <xdr:col>26</xdr:col>
      <xdr:colOff>447675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65998DB-72E9-FF0E-D5C5-6D01DDBF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13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238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6050" TargetMode="External"/><Relationship Id="rId6" Type="http://schemas.openxmlformats.org/officeDocument/2006/relationships/hyperlink" Target="http://www.bav-astro.de/sfs/BAVM_link.php?BAVMnr=234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7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D2" s="3" t="s">
        <v>3</v>
      </c>
    </row>
    <row r="4" spans="1:6">
      <c r="A4" s="4" t="s">
        <v>4</v>
      </c>
      <c r="C4" s="5" t="s">
        <v>5</v>
      </c>
      <c r="D4" s="6" t="s">
        <v>5</v>
      </c>
    </row>
    <row r="5" spans="1:6">
      <c r="A5" s="7" t="s">
        <v>6</v>
      </c>
      <c r="B5"/>
      <c r="C5" s="8">
        <v>-9.5</v>
      </c>
      <c r="D5" t="s">
        <v>7</v>
      </c>
    </row>
    <row r="6" spans="1:6">
      <c r="A6" s="4" t="s">
        <v>8</v>
      </c>
    </row>
    <row r="7" spans="1:6">
      <c r="A7" s="1" t="s">
        <v>9</v>
      </c>
      <c r="C7" s="1">
        <v>51563.900647800001</v>
      </c>
      <c r="D7" s="9" t="s">
        <v>10</v>
      </c>
    </row>
    <row r="8" spans="1:6">
      <c r="A8" s="1" t="s">
        <v>11</v>
      </c>
      <c r="C8" s="1">
        <v>0.473522</v>
      </c>
      <c r="D8" s="9" t="s">
        <v>10</v>
      </c>
    </row>
    <row r="9" spans="1:6">
      <c r="A9" s="10" t="s">
        <v>12</v>
      </c>
      <c r="B9" s="11">
        <v>22</v>
      </c>
      <c r="C9" s="12" t="str">
        <f>"F"&amp;B9</f>
        <v>F22</v>
      </c>
      <c r="D9" s="13" t="str">
        <f>"G"&amp;B9</f>
        <v>G22</v>
      </c>
    </row>
    <row r="10" spans="1:6">
      <c r="A10"/>
      <c r="B10"/>
      <c r="C10" s="14" t="s">
        <v>13</v>
      </c>
      <c r="D10" s="14" t="s">
        <v>14</v>
      </c>
      <c r="E10"/>
    </row>
    <row r="11" spans="1:6">
      <c r="A11" t="s">
        <v>15</v>
      </c>
      <c r="B11"/>
      <c r="C11" s="15">
        <f ca="1">INTERCEPT(INDIRECT($D$9):G988,INDIRECT($C$9):F988)</f>
        <v>2.9160953595525452E-2</v>
      </c>
      <c r="D11" s="3"/>
      <c r="E11"/>
    </row>
    <row r="12" spans="1:6">
      <c r="A12" t="s">
        <v>16</v>
      </c>
      <c r="B12"/>
      <c r="C12" s="15">
        <f ca="1">SLOPE(INDIRECT($D$9):G988,INDIRECT($C$9):F988)</f>
        <v>1.8306636851904315E-5</v>
      </c>
      <c r="D12" s="3"/>
      <c r="E12"/>
    </row>
    <row r="13" spans="1:6">
      <c r="A13" t="s">
        <v>17</v>
      </c>
      <c r="B13"/>
      <c r="C13" s="3" t="s">
        <v>18</v>
      </c>
    </row>
    <row r="14" spans="1:6">
      <c r="A14"/>
      <c r="B14"/>
      <c r="C14"/>
    </row>
    <row r="15" spans="1:6">
      <c r="A15" s="16" t="s">
        <v>19</v>
      </c>
      <c r="B15"/>
      <c r="C15" s="17">
        <f ca="1">(C7+C11)+(C8+C12)*INT(MAX(F21:F3529))</f>
        <v>59685.146067575603</v>
      </c>
      <c r="E15" s="18" t="s">
        <v>20</v>
      </c>
      <c r="F15" s="8">
        <v>1</v>
      </c>
    </row>
    <row r="16" spans="1:6">
      <c r="A16" s="16" t="s">
        <v>21</v>
      </c>
      <c r="B16"/>
      <c r="C16" s="17">
        <f ca="1">+C8+C12</f>
        <v>0.47354030663685193</v>
      </c>
      <c r="E16" s="18" t="s">
        <v>22</v>
      </c>
      <c r="F16" s="15">
        <f ca="1">NOW()+15018.5+$C$5/24</f>
        <v>59969.764366666663</v>
      </c>
    </row>
    <row r="17" spans="1:17">
      <c r="A17" s="18" t="s">
        <v>23</v>
      </c>
      <c r="B17"/>
      <c r="C17">
        <f>COUNT(C21:C2187)</f>
        <v>41</v>
      </c>
      <c r="E17" s="18" t="s">
        <v>24</v>
      </c>
      <c r="F17" s="15">
        <f ca="1">ROUND(2*(F16-$C$7)/$C$8,0)/2+F15</f>
        <v>17753</v>
      </c>
    </row>
    <row r="18" spans="1:17">
      <c r="A18" s="16" t="s">
        <v>25</v>
      </c>
      <c r="B18"/>
      <c r="C18" s="19">
        <f ca="1">+C15</f>
        <v>59685.146067575603</v>
      </c>
      <c r="D18" s="20">
        <f ca="1">+C16</f>
        <v>0.47354030663685193</v>
      </c>
      <c r="E18" s="18" t="s">
        <v>26</v>
      </c>
      <c r="F18" s="13">
        <f ca="1">ROUND(2*(F16-$C$15)/$C$16,0)/2+F15</f>
        <v>602</v>
      </c>
    </row>
    <row r="19" spans="1:17">
      <c r="E19" s="18" t="s">
        <v>27</v>
      </c>
      <c r="F19" s="21">
        <f ca="1">+$C$15+$C$16*F18-15018.5-$C$5/24</f>
        <v>44952.113165504321</v>
      </c>
    </row>
    <row r="20" spans="1:17">
      <c r="A20" s="14" t="s">
        <v>28</v>
      </c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22" t="s">
        <v>35</v>
      </c>
      <c r="I20" s="22" t="s">
        <v>36</v>
      </c>
      <c r="J20" s="22" t="s">
        <v>37</v>
      </c>
      <c r="K20" s="22" t="s">
        <v>38</v>
      </c>
      <c r="L20" s="22" t="s">
        <v>39</v>
      </c>
      <c r="M20" s="22" t="s">
        <v>40</v>
      </c>
      <c r="N20" s="22" t="s">
        <v>41</v>
      </c>
      <c r="O20" s="22" t="s">
        <v>42</v>
      </c>
      <c r="P20" s="22" t="s">
        <v>43</v>
      </c>
      <c r="Q20" s="14" t="s">
        <v>44</v>
      </c>
    </row>
    <row r="21" spans="1:17">
      <c r="A21" s="9" t="s">
        <v>10</v>
      </c>
      <c r="C21" s="23">
        <v>51563.900647800001</v>
      </c>
      <c r="D21" s="23" t="s">
        <v>18</v>
      </c>
      <c r="E21" s="1">
        <f t="shared" ref="E21:E44" si="0">+(C21-C$7)/C$8</f>
        <v>0</v>
      </c>
      <c r="F21" s="1">
        <f>ROUND(2*E21,0)/2</f>
        <v>0</v>
      </c>
      <c r="G21" s="1">
        <f t="shared" ref="G21:G44" si="1">+C21-(C$7+F21*C$8)</f>
        <v>0</v>
      </c>
      <c r="H21" s="1">
        <f>+G21</f>
        <v>0</v>
      </c>
      <c r="O21" s="1">
        <f t="shared" ref="O21:O44" ca="1" si="2">+C$11+C$12*$F21</f>
        <v>2.9160953595525452E-2</v>
      </c>
      <c r="Q21" s="71">
        <f t="shared" ref="Q21:Q44" si="3">+C21-15018.5</f>
        <v>36545.400647800001</v>
      </c>
    </row>
    <row r="22" spans="1:17">
      <c r="A22" s="4" t="s">
        <v>45</v>
      </c>
      <c r="C22" s="24">
        <v>55932.814400000003</v>
      </c>
      <c r="D22" s="24">
        <v>2.0000000000000001E-4</v>
      </c>
      <c r="E22" s="1">
        <f t="shared" si="0"/>
        <v>9226.4219026782321</v>
      </c>
      <c r="F22" s="25">
        <f t="shared" ref="F22:F50" si="4">ROUND(2*E22,0)/2-0.5</f>
        <v>9226</v>
      </c>
      <c r="G22" s="1">
        <f t="shared" si="1"/>
        <v>0.19978020000417018</v>
      </c>
      <c r="K22" s="1">
        <f>+G22</f>
        <v>0.19978020000417018</v>
      </c>
      <c r="O22" s="1">
        <f t="shared" ca="1" si="2"/>
        <v>0.19805798519119466</v>
      </c>
      <c r="Q22" s="71">
        <f t="shared" si="3"/>
        <v>40914.314400000003</v>
      </c>
    </row>
    <row r="23" spans="1:17">
      <c r="A23" s="26" t="s">
        <v>46</v>
      </c>
      <c r="B23" s="27" t="s">
        <v>47</v>
      </c>
      <c r="C23" s="26">
        <v>55944.8923</v>
      </c>
      <c r="D23" s="26">
        <v>4.0000000000000002E-4</v>
      </c>
      <c r="E23" s="1">
        <f t="shared" si="0"/>
        <v>9251.9284261343691</v>
      </c>
      <c r="F23" s="25">
        <f t="shared" si="4"/>
        <v>9251.5</v>
      </c>
      <c r="G23" s="1">
        <f t="shared" si="1"/>
        <v>0.20286919999489328</v>
      </c>
      <c r="K23" s="1">
        <f>+G23</f>
        <v>0.20286919999489328</v>
      </c>
      <c r="O23" s="1">
        <f t="shared" ca="1" si="2"/>
        <v>0.19852480443091822</v>
      </c>
      <c r="Q23" s="71">
        <f t="shared" si="3"/>
        <v>40926.3923</v>
      </c>
    </row>
    <row r="24" spans="1:17">
      <c r="A24" s="26" t="s">
        <v>48</v>
      </c>
      <c r="B24" s="27" t="s">
        <v>49</v>
      </c>
      <c r="C24" s="26">
        <v>56002.660100000001</v>
      </c>
      <c r="D24" s="26">
        <v>1E-3</v>
      </c>
      <c r="E24" s="1">
        <f t="shared" si="0"/>
        <v>9373.9244474385559</v>
      </c>
      <c r="F24" s="25">
        <f t="shared" si="4"/>
        <v>9373.5</v>
      </c>
      <c r="G24" s="1">
        <f t="shared" si="1"/>
        <v>0.20098519999737618</v>
      </c>
      <c r="J24" s="1">
        <f>+G24</f>
        <v>0.20098519999737618</v>
      </c>
      <c r="O24" s="1">
        <f t="shared" ca="1" si="2"/>
        <v>0.20075821412685055</v>
      </c>
      <c r="Q24" s="71">
        <f t="shared" si="3"/>
        <v>40984.160100000001</v>
      </c>
    </row>
    <row r="25" spans="1:17">
      <c r="A25" s="26" t="s">
        <v>46</v>
      </c>
      <c r="B25" s="27" t="s">
        <v>47</v>
      </c>
      <c r="C25" s="26">
        <v>56029.654699999999</v>
      </c>
      <c r="D25" s="26">
        <v>2.0000000000000001E-4</v>
      </c>
      <c r="E25" s="1">
        <f t="shared" si="0"/>
        <v>9430.9325695532589</v>
      </c>
      <c r="F25" s="25">
        <f t="shared" si="4"/>
        <v>9430.5</v>
      </c>
      <c r="G25" s="1">
        <f t="shared" si="1"/>
        <v>0.20483119999698829</v>
      </c>
      <c r="K25" s="1">
        <f>+G25</f>
        <v>0.20483119999698829</v>
      </c>
      <c r="O25" s="1">
        <f t="shared" ca="1" si="2"/>
        <v>0.20180169242740909</v>
      </c>
      <c r="Q25" s="71">
        <f t="shared" si="3"/>
        <v>41011.154699999999</v>
      </c>
    </row>
    <row r="26" spans="1:17">
      <c r="A26" s="28" t="s">
        <v>50</v>
      </c>
      <c r="B26" s="27" t="s">
        <v>47</v>
      </c>
      <c r="C26" s="26">
        <v>56311.881399999998</v>
      </c>
      <c r="D26" s="26">
        <v>2.0000000000000001E-4</v>
      </c>
      <c r="E26" s="1">
        <f t="shared" si="0"/>
        <v>10026.948594151903</v>
      </c>
      <c r="F26" s="25">
        <f t="shared" si="4"/>
        <v>10026.5</v>
      </c>
      <c r="G26" s="1">
        <f t="shared" si="1"/>
        <v>0.21241919999738457</v>
      </c>
      <c r="K26" s="1">
        <f>+G26</f>
        <v>0.21241919999738457</v>
      </c>
      <c r="O26" s="1">
        <f t="shared" ca="1" si="2"/>
        <v>0.21271244799114408</v>
      </c>
      <c r="Q26" s="71">
        <f t="shared" si="3"/>
        <v>41293.381399999998</v>
      </c>
    </row>
    <row r="27" spans="1:17">
      <c r="A27" s="29" t="s">
        <v>51</v>
      </c>
      <c r="B27" s="30" t="s">
        <v>49</v>
      </c>
      <c r="C27" s="26">
        <v>56698.526899999997</v>
      </c>
      <c r="D27" s="31">
        <v>2.9999999999999997E-4</v>
      </c>
      <c r="E27" s="1">
        <f t="shared" si="0"/>
        <v>10843.479821845651</v>
      </c>
      <c r="F27" s="25">
        <f t="shared" si="4"/>
        <v>10843</v>
      </c>
      <c r="G27" s="1">
        <f t="shared" si="1"/>
        <v>0.22720619999745395</v>
      </c>
      <c r="J27" s="1">
        <f>+G27</f>
        <v>0.22720619999745395</v>
      </c>
      <c r="O27" s="1">
        <f t="shared" ca="1" si="2"/>
        <v>0.22765981698072393</v>
      </c>
      <c r="Q27" s="71">
        <f t="shared" si="3"/>
        <v>41680.026899999997</v>
      </c>
    </row>
    <row r="28" spans="1:17">
      <c r="A28" s="31" t="s">
        <v>52</v>
      </c>
      <c r="B28" s="30" t="s">
        <v>49</v>
      </c>
      <c r="C28" s="31">
        <v>56706.576999999997</v>
      </c>
      <c r="D28" s="31">
        <v>4.5999999999999999E-3</v>
      </c>
      <c r="E28" s="1">
        <f t="shared" si="0"/>
        <v>10860.480299120203</v>
      </c>
      <c r="F28" s="25">
        <f t="shared" si="4"/>
        <v>10860</v>
      </c>
      <c r="G28" s="1">
        <f t="shared" si="1"/>
        <v>0.2274321999939275</v>
      </c>
      <c r="J28" s="1">
        <f>+G28</f>
        <v>0.2274321999939275</v>
      </c>
      <c r="O28" s="1">
        <f t="shared" ca="1" si="2"/>
        <v>0.22797102980720632</v>
      </c>
      <c r="Q28" s="71">
        <f t="shared" si="3"/>
        <v>41688.076999999997</v>
      </c>
    </row>
    <row r="29" spans="1:17">
      <c r="A29" s="32" t="s">
        <v>52</v>
      </c>
      <c r="B29" s="30" t="s">
        <v>49</v>
      </c>
      <c r="C29" s="31">
        <v>56709.4202</v>
      </c>
      <c r="D29" s="31">
        <v>4.0000000000000002E-4</v>
      </c>
      <c r="E29" s="1">
        <f t="shared" si="0"/>
        <v>10866.484666393535</v>
      </c>
      <c r="F29" s="25">
        <f t="shared" si="4"/>
        <v>10866</v>
      </c>
      <c r="G29" s="1">
        <f t="shared" si="1"/>
        <v>0.22950019999552751</v>
      </c>
      <c r="J29" s="1">
        <f>+G29</f>
        <v>0.22950019999552751</v>
      </c>
      <c r="O29" s="1">
        <f t="shared" ca="1" si="2"/>
        <v>0.22808086962831775</v>
      </c>
      <c r="Q29" s="71">
        <f t="shared" si="3"/>
        <v>41690.9202</v>
      </c>
    </row>
    <row r="30" spans="1:17">
      <c r="A30" s="32" t="s">
        <v>52</v>
      </c>
      <c r="B30" s="30" t="s">
        <v>49</v>
      </c>
      <c r="C30" s="31">
        <v>56711.310400000002</v>
      </c>
      <c r="D30" s="31">
        <v>1.1000000000000001E-3</v>
      </c>
      <c r="E30" s="1">
        <f t="shared" si="0"/>
        <v>10870.476455581791</v>
      </c>
      <c r="F30" s="25">
        <f t="shared" si="4"/>
        <v>10870</v>
      </c>
      <c r="G30" s="1">
        <f t="shared" si="1"/>
        <v>0.22561220000352478</v>
      </c>
      <c r="J30" s="1">
        <f>+G30</f>
        <v>0.22561220000352478</v>
      </c>
      <c r="O30" s="1">
        <f t="shared" ca="1" si="2"/>
        <v>0.22815409617572535</v>
      </c>
      <c r="Q30" s="71">
        <f t="shared" si="3"/>
        <v>41692.810400000002</v>
      </c>
    </row>
    <row r="31" spans="1:17">
      <c r="A31" s="33" t="s">
        <v>53</v>
      </c>
      <c r="B31" s="27" t="s">
        <v>47</v>
      </c>
      <c r="C31" s="34">
        <v>56728.359960000002</v>
      </c>
      <c r="D31" s="26">
        <v>2.0000000000000001E-4</v>
      </c>
      <c r="E31" s="1">
        <f t="shared" si="0"/>
        <v>10906.482301139125</v>
      </c>
      <c r="F31" s="25">
        <f t="shared" si="4"/>
        <v>10906</v>
      </c>
      <c r="G31" s="1">
        <f t="shared" si="1"/>
        <v>0.22838020000199322</v>
      </c>
      <c r="K31" s="1">
        <f>+G31</f>
        <v>0.22838020000199322</v>
      </c>
      <c r="O31" s="1">
        <f t="shared" ca="1" si="2"/>
        <v>0.22881313510239393</v>
      </c>
      <c r="Q31" s="71">
        <f t="shared" si="3"/>
        <v>41709.859960000002</v>
      </c>
    </row>
    <row r="32" spans="1:17">
      <c r="A32" s="33" t="s">
        <v>53</v>
      </c>
      <c r="B32" s="27" t="s">
        <v>49</v>
      </c>
      <c r="C32" s="34">
        <v>56728.36017</v>
      </c>
      <c r="D32" s="26">
        <v>1E-4</v>
      </c>
      <c r="E32" s="1">
        <f t="shared" si="0"/>
        <v>10906.482744624323</v>
      </c>
      <c r="F32" s="25">
        <f t="shared" si="4"/>
        <v>10906</v>
      </c>
      <c r="G32" s="1">
        <f t="shared" si="1"/>
        <v>0.22859020000032615</v>
      </c>
      <c r="K32" s="1">
        <f>+G32</f>
        <v>0.22859020000032615</v>
      </c>
      <c r="O32" s="1">
        <f t="shared" ca="1" si="2"/>
        <v>0.22881313510239393</v>
      </c>
      <c r="Q32" s="71">
        <f t="shared" si="3"/>
        <v>41709.86017</v>
      </c>
    </row>
    <row r="33" spans="1:17">
      <c r="A33" s="33" t="s">
        <v>54</v>
      </c>
      <c r="B33" s="27"/>
      <c r="C33" s="26">
        <v>56728.595699999998</v>
      </c>
      <c r="D33" s="26">
        <v>1E-4</v>
      </c>
      <c r="E33" s="35">
        <f t="shared" si="0"/>
        <v>10906.9801449563</v>
      </c>
      <c r="F33" s="25">
        <f t="shared" si="4"/>
        <v>10906.5</v>
      </c>
      <c r="G33" s="1">
        <f t="shared" si="1"/>
        <v>0.22735919999831822</v>
      </c>
      <c r="J33" s="1">
        <f>+G33</f>
        <v>0.22735919999831822</v>
      </c>
      <c r="O33" s="1">
        <f t="shared" ca="1" si="2"/>
        <v>0.22882228842081986</v>
      </c>
      <c r="Q33" s="71">
        <f t="shared" si="3"/>
        <v>41710.095699999998</v>
      </c>
    </row>
    <row r="34" spans="1:17">
      <c r="A34" s="31" t="s">
        <v>55</v>
      </c>
      <c r="B34" s="27"/>
      <c r="C34" s="31">
        <v>57035.449099999998</v>
      </c>
      <c r="D34" s="31">
        <v>6.9999999999999999E-4</v>
      </c>
      <c r="E34" s="35">
        <f t="shared" si="0"/>
        <v>11555.003679237707</v>
      </c>
      <c r="F34" s="25">
        <f t="shared" si="4"/>
        <v>11554.5</v>
      </c>
      <c r="G34" s="1">
        <f t="shared" si="1"/>
        <v>0.23850319999473868</v>
      </c>
      <c r="J34" s="1">
        <f>+G34</f>
        <v>0.23850319999473868</v>
      </c>
      <c r="O34" s="1">
        <f t="shared" ca="1" si="2"/>
        <v>0.24068498910085387</v>
      </c>
      <c r="Q34" s="71">
        <f t="shared" si="3"/>
        <v>42016.949099999998</v>
      </c>
    </row>
    <row r="35" spans="1:17">
      <c r="A35" s="31" t="s">
        <v>55</v>
      </c>
      <c r="B35" s="27"/>
      <c r="C35" s="31">
        <v>57035.6872</v>
      </c>
      <c r="D35" s="31">
        <v>2.0000000000000001E-4</v>
      </c>
      <c r="E35" s="35">
        <f t="shared" si="0"/>
        <v>11555.506506983835</v>
      </c>
      <c r="F35" s="25">
        <f t="shared" si="4"/>
        <v>11555</v>
      </c>
      <c r="G35" s="1">
        <f t="shared" si="1"/>
        <v>0.23984219999692868</v>
      </c>
      <c r="J35" s="1">
        <f>+G35</f>
        <v>0.23984219999692868</v>
      </c>
      <c r="O35" s="1">
        <f t="shared" ca="1" si="2"/>
        <v>0.24069414241927981</v>
      </c>
      <c r="Q35" s="71">
        <f t="shared" si="3"/>
        <v>42017.1872</v>
      </c>
    </row>
    <row r="36" spans="1:17">
      <c r="A36" s="33" t="s">
        <v>54</v>
      </c>
      <c r="B36" s="27"/>
      <c r="C36" s="26">
        <v>57090.380700000002</v>
      </c>
      <c r="D36" s="26">
        <v>6.9999999999999999E-4</v>
      </c>
      <c r="E36" s="35">
        <f t="shared" si="0"/>
        <v>11671.010116108651</v>
      </c>
      <c r="F36" s="25">
        <f t="shared" si="4"/>
        <v>11670.5</v>
      </c>
      <c r="G36" s="1">
        <f t="shared" si="1"/>
        <v>0.24155120000068564</v>
      </c>
      <c r="J36" s="1">
        <f>+G36</f>
        <v>0.24155120000068564</v>
      </c>
      <c r="O36" s="1">
        <f t="shared" ca="1" si="2"/>
        <v>0.24280855897567477</v>
      </c>
      <c r="Q36" s="71">
        <f t="shared" si="3"/>
        <v>42071.880700000002</v>
      </c>
    </row>
    <row r="37" spans="1:17">
      <c r="A37" s="36" t="s">
        <v>56</v>
      </c>
      <c r="B37" s="37" t="s">
        <v>49</v>
      </c>
      <c r="C37" s="38">
        <v>57121.398500000003</v>
      </c>
      <c r="D37" s="38">
        <v>1E-3</v>
      </c>
      <c r="E37" s="35">
        <f t="shared" si="0"/>
        <v>11736.514569967187</v>
      </c>
      <c r="F37" s="25">
        <f t="shared" si="4"/>
        <v>11736</v>
      </c>
      <c r="G37" s="1">
        <f t="shared" si="1"/>
        <v>0.2436602000016137</v>
      </c>
      <c r="K37" s="1">
        <f t="shared" ref="K37:K44" si="5">+G37</f>
        <v>0.2436602000016137</v>
      </c>
      <c r="O37" s="1">
        <f t="shared" ca="1" si="2"/>
        <v>0.2440076436894745</v>
      </c>
      <c r="Q37" s="71">
        <f t="shared" si="3"/>
        <v>42102.898500000003</v>
      </c>
    </row>
    <row r="38" spans="1:17">
      <c r="A38" s="36" t="s">
        <v>56</v>
      </c>
      <c r="B38" s="37" t="s">
        <v>49</v>
      </c>
      <c r="C38" s="38">
        <v>57132.525600000001</v>
      </c>
      <c r="D38" s="38">
        <v>1E-4</v>
      </c>
      <c r="E38" s="35">
        <f t="shared" si="0"/>
        <v>11760.013161373705</v>
      </c>
      <c r="F38" s="25">
        <f t="shared" si="4"/>
        <v>11759.5</v>
      </c>
      <c r="G38" s="1">
        <f t="shared" si="1"/>
        <v>0.24299320000136504</v>
      </c>
      <c r="K38" s="1">
        <f t="shared" si="5"/>
        <v>0.24299320000136504</v>
      </c>
      <c r="O38" s="1">
        <f t="shared" ca="1" si="2"/>
        <v>0.24443784965549425</v>
      </c>
      <c r="Q38" s="71">
        <f t="shared" si="3"/>
        <v>42114.025600000001</v>
      </c>
    </row>
    <row r="39" spans="1:17">
      <c r="A39" s="39" t="s">
        <v>57</v>
      </c>
      <c r="B39" s="40" t="s">
        <v>49</v>
      </c>
      <c r="C39" s="41">
        <v>57386.106299999999</v>
      </c>
      <c r="D39" s="41" t="s">
        <v>58</v>
      </c>
      <c r="E39" s="35">
        <f t="shared" si="0"/>
        <v>12295.533580699521</v>
      </c>
      <c r="F39" s="25">
        <f t="shared" si="4"/>
        <v>12295</v>
      </c>
      <c r="G39" s="1">
        <f t="shared" si="1"/>
        <v>0.25266220000048634</v>
      </c>
      <c r="K39" s="1">
        <f t="shared" si="5"/>
        <v>0.25266220000048634</v>
      </c>
      <c r="O39" s="1">
        <f t="shared" ca="1" si="2"/>
        <v>0.25424105368968902</v>
      </c>
      <c r="Q39" s="71">
        <f t="shared" si="3"/>
        <v>42367.606299999999</v>
      </c>
    </row>
    <row r="40" spans="1:17">
      <c r="A40" s="41" t="s">
        <v>57</v>
      </c>
      <c r="B40" s="40" t="s">
        <v>47</v>
      </c>
      <c r="C40" s="41">
        <v>57386.344700000001</v>
      </c>
      <c r="D40" s="41" t="s">
        <v>58</v>
      </c>
      <c r="E40" s="35">
        <f t="shared" si="0"/>
        <v>12296.037041995938</v>
      </c>
      <c r="F40" s="25">
        <f t="shared" si="4"/>
        <v>12295.5</v>
      </c>
      <c r="G40" s="1">
        <f t="shared" si="1"/>
        <v>0.25430120000237366</v>
      </c>
      <c r="K40" s="1">
        <f t="shared" si="5"/>
        <v>0.25430120000237366</v>
      </c>
      <c r="O40" s="1">
        <f t="shared" ca="1" si="2"/>
        <v>0.25425020700811496</v>
      </c>
      <c r="Q40" s="71">
        <f t="shared" si="3"/>
        <v>42367.844700000001</v>
      </c>
    </row>
    <row r="41" spans="1:17">
      <c r="A41" s="42" t="s">
        <v>59</v>
      </c>
      <c r="B41" s="43" t="s">
        <v>49</v>
      </c>
      <c r="C41" s="44">
        <v>57423.281130000003</v>
      </c>
      <c r="D41" s="44">
        <v>1E-4</v>
      </c>
      <c r="E41" s="35">
        <f t="shared" si="0"/>
        <v>12374.040661679926</v>
      </c>
      <c r="F41" s="25">
        <f t="shared" si="4"/>
        <v>12373.5</v>
      </c>
      <c r="G41" s="1">
        <f t="shared" si="1"/>
        <v>0.25601520000054734</v>
      </c>
      <c r="K41" s="1">
        <f t="shared" si="5"/>
        <v>0.25601520000054734</v>
      </c>
      <c r="O41" s="1">
        <f t="shared" ca="1" si="2"/>
        <v>0.25567812468256346</v>
      </c>
      <c r="Q41" s="71">
        <f t="shared" si="3"/>
        <v>42404.781130000003</v>
      </c>
    </row>
    <row r="42" spans="1:17">
      <c r="A42" s="36" t="s">
        <v>56</v>
      </c>
      <c r="B42" s="37" t="s">
        <v>49</v>
      </c>
      <c r="C42" s="38">
        <v>57465.424899999998</v>
      </c>
      <c r="D42" s="38">
        <v>2.5000000000000001E-3</v>
      </c>
      <c r="E42" s="35">
        <f t="shared" si="0"/>
        <v>12463.041320572216</v>
      </c>
      <c r="F42" s="25">
        <f t="shared" si="4"/>
        <v>12462.5</v>
      </c>
      <c r="G42" s="1">
        <f t="shared" si="1"/>
        <v>0.25632719999703113</v>
      </c>
      <c r="K42" s="1">
        <f t="shared" si="5"/>
        <v>0.25632719999703113</v>
      </c>
      <c r="O42" s="1">
        <f t="shared" ca="1" si="2"/>
        <v>0.257307415362383</v>
      </c>
      <c r="Q42" s="71">
        <f t="shared" si="3"/>
        <v>42446.924899999998</v>
      </c>
    </row>
    <row r="43" spans="1:17">
      <c r="A43" s="42" t="s">
        <v>59</v>
      </c>
      <c r="B43" s="43" t="s">
        <v>49</v>
      </c>
      <c r="C43" s="44">
        <v>57474.422680000003</v>
      </c>
      <c r="D43" s="44">
        <v>4.0000000000000002E-4</v>
      </c>
      <c r="E43" s="35">
        <f t="shared" si="0"/>
        <v>12482.043140973392</v>
      </c>
      <c r="F43" s="25">
        <f t="shared" si="4"/>
        <v>12481.5</v>
      </c>
      <c r="G43" s="1">
        <f t="shared" si="1"/>
        <v>0.2571892000050866</v>
      </c>
      <c r="K43" s="1">
        <f t="shared" si="5"/>
        <v>0.2571892000050866</v>
      </c>
      <c r="O43" s="1">
        <f t="shared" ca="1" si="2"/>
        <v>0.25765524146256913</v>
      </c>
      <c r="Q43" s="71">
        <f t="shared" si="3"/>
        <v>42455.922680000003</v>
      </c>
    </row>
    <row r="44" spans="1:17">
      <c r="A44" s="42" t="s">
        <v>59</v>
      </c>
      <c r="B44" s="43" t="s">
        <v>47</v>
      </c>
      <c r="C44" s="44">
        <v>57498.333400000003</v>
      </c>
      <c r="D44" s="44">
        <v>1E-4</v>
      </c>
      <c r="E44" s="35">
        <f t="shared" si="0"/>
        <v>12532.538619536161</v>
      </c>
      <c r="F44" s="25">
        <f t="shared" si="4"/>
        <v>12532</v>
      </c>
      <c r="G44" s="1">
        <f t="shared" si="1"/>
        <v>0.25504820000060135</v>
      </c>
      <c r="K44" s="1">
        <f t="shared" si="5"/>
        <v>0.25504820000060135</v>
      </c>
      <c r="O44" s="1">
        <f t="shared" ca="1" si="2"/>
        <v>0.2585797266235903</v>
      </c>
      <c r="Q44" s="71">
        <f t="shared" si="3"/>
        <v>42479.833400000003</v>
      </c>
    </row>
    <row r="45" spans="1:17">
      <c r="A45" s="45" t="s">
        <v>60</v>
      </c>
      <c r="B45" s="46" t="s">
        <v>49</v>
      </c>
      <c r="C45" s="45">
        <v>57029.768100000001</v>
      </c>
      <c r="D45" s="45">
        <v>2.0000000000000001E-4</v>
      </c>
      <c r="E45" s="35">
        <f t="shared" ref="E45:E50" si="6">+(C45-C$7)/C$8</f>
        <v>11543.006348596264</v>
      </c>
      <c r="F45" s="25">
        <f t="shared" si="4"/>
        <v>11542.5</v>
      </c>
      <c r="G45" s="1">
        <f t="shared" ref="G45:G50" si="7">+C45-(C$7+F45*C$8)</f>
        <v>0.23976720000064233</v>
      </c>
      <c r="K45" s="1">
        <f t="shared" ref="K45:K50" si="8">+G45</f>
        <v>0.23976720000064233</v>
      </c>
      <c r="O45" s="1">
        <f t="shared" ref="O45:O50" ca="1" si="9">+C$11+C$12*$F45</f>
        <v>0.24046530945863101</v>
      </c>
      <c r="Q45" s="71">
        <f t="shared" ref="Q45:Q50" si="10">+C45-15018.5</f>
        <v>42011.268100000001</v>
      </c>
    </row>
    <row r="46" spans="1:17">
      <c r="A46" s="45" t="s">
        <v>60</v>
      </c>
      <c r="B46" s="46" t="s">
        <v>47</v>
      </c>
      <c r="C46" s="45">
        <v>57030.004300000001</v>
      </c>
      <c r="D46" s="45">
        <v>1E-4</v>
      </c>
      <c r="E46" s="35">
        <f t="shared" si="6"/>
        <v>11543.505163857222</v>
      </c>
      <c r="F46" s="25">
        <f t="shared" si="4"/>
        <v>11543</v>
      </c>
      <c r="G46" s="1">
        <f t="shared" si="7"/>
        <v>0.23920619999989867</v>
      </c>
      <c r="K46" s="1">
        <f t="shared" si="8"/>
        <v>0.23920619999989867</v>
      </c>
      <c r="O46" s="1">
        <f t="shared" ca="1" si="9"/>
        <v>0.24047446277705697</v>
      </c>
      <c r="Q46" s="71">
        <f t="shared" si="10"/>
        <v>42011.504300000001</v>
      </c>
    </row>
    <row r="47" spans="1:17">
      <c r="A47" s="45" t="s">
        <v>61</v>
      </c>
      <c r="B47" s="46" t="s">
        <v>49</v>
      </c>
      <c r="C47" s="45">
        <v>57415.703800000003</v>
      </c>
      <c r="D47" s="45">
        <v>1E-4</v>
      </c>
      <c r="E47" s="35">
        <f t="shared" si="6"/>
        <v>12358.038596305983</v>
      </c>
      <c r="F47" s="25">
        <f t="shared" si="4"/>
        <v>12357.5</v>
      </c>
      <c r="G47" s="1">
        <f t="shared" si="7"/>
        <v>0.25503720000415342</v>
      </c>
      <c r="K47" s="1">
        <f t="shared" si="8"/>
        <v>0.25503720000415342</v>
      </c>
      <c r="O47" s="1">
        <f t="shared" ca="1" si="9"/>
        <v>0.25538521849293305</v>
      </c>
      <c r="Q47" s="71">
        <f t="shared" si="10"/>
        <v>42397.203800000003</v>
      </c>
    </row>
    <row r="48" spans="1:17">
      <c r="A48" s="45" t="s">
        <v>60</v>
      </c>
      <c r="B48" s="46" t="s">
        <v>49</v>
      </c>
      <c r="C48" s="45">
        <v>57498.573499999999</v>
      </c>
      <c r="D48" s="45">
        <v>1E-4</v>
      </c>
      <c r="E48" s="35">
        <f t="shared" si="6"/>
        <v>12533.045670950869</v>
      </c>
      <c r="F48" s="25">
        <f t="shared" si="4"/>
        <v>12532.5</v>
      </c>
      <c r="G48" s="1">
        <f t="shared" si="7"/>
        <v>0.25838719999592286</v>
      </c>
      <c r="K48" s="1">
        <f t="shared" si="8"/>
        <v>0.25838719999592286</v>
      </c>
      <c r="O48" s="1">
        <f t="shared" ca="1" si="9"/>
        <v>0.25858887994201629</v>
      </c>
      <c r="Q48" s="71">
        <f t="shared" si="10"/>
        <v>42480.073499999999</v>
      </c>
    </row>
    <row r="49" spans="1:17">
      <c r="A49" s="47" t="s">
        <v>62</v>
      </c>
      <c r="B49" s="48" t="s">
        <v>49</v>
      </c>
      <c r="C49" s="49">
        <v>57796.195200000002</v>
      </c>
      <c r="D49" s="50" t="s">
        <v>63</v>
      </c>
      <c r="E49" s="35">
        <f t="shared" si="6"/>
        <v>13161.573384552357</v>
      </c>
      <c r="F49" s="25">
        <f t="shared" si="4"/>
        <v>13161</v>
      </c>
      <c r="G49" s="1">
        <f t="shared" si="7"/>
        <v>0.27151020000019344</v>
      </c>
      <c r="K49" s="1">
        <f t="shared" si="8"/>
        <v>0.27151020000019344</v>
      </c>
      <c r="O49" s="1">
        <f t="shared" ca="1" si="9"/>
        <v>0.27009460120343814</v>
      </c>
      <c r="Q49" s="71">
        <f t="shared" si="10"/>
        <v>42777.695200000002</v>
      </c>
    </row>
    <row r="50" spans="1:17">
      <c r="A50" s="51" t="s">
        <v>64</v>
      </c>
      <c r="B50" s="52" t="s">
        <v>49</v>
      </c>
      <c r="C50" s="51">
        <v>58182.12900000019</v>
      </c>
      <c r="D50" s="51" t="s">
        <v>18</v>
      </c>
      <c r="E50" s="35">
        <f t="shared" si="6"/>
        <v>13976.601619777304</v>
      </c>
      <c r="F50" s="25">
        <f t="shared" si="4"/>
        <v>13976</v>
      </c>
      <c r="G50" s="1">
        <f t="shared" si="7"/>
        <v>0.28488020018994575</v>
      </c>
      <c r="K50" s="1">
        <f t="shared" si="8"/>
        <v>0.28488020018994575</v>
      </c>
      <c r="O50" s="1">
        <f t="shared" ca="1" si="9"/>
        <v>0.28501451023774016</v>
      </c>
      <c r="Q50" s="71">
        <f t="shared" si="10"/>
        <v>43163.62900000019</v>
      </c>
    </row>
    <row r="51" spans="1:17">
      <c r="A51" s="53" t="s">
        <v>65</v>
      </c>
      <c r="B51" s="54" t="s">
        <v>49</v>
      </c>
      <c r="C51" s="55">
        <v>58176.686000000002</v>
      </c>
      <c r="D51" s="55">
        <v>1E-4</v>
      </c>
      <c r="E51" s="35">
        <f>+(C51-C$7)/C$8</f>
        <v>13965.106905698152</v>
      </c>
      <c r="F51" s="25">
        <f>ROUND(2*E51,0)/2-0.5</f>
        <v>13964.5</v>
      </c>
      <c r="G51" s="1">
        <f>+C51-(C$7+F51*C$8)</f>
        <v>0.28738320000411477</v>
      </c>
      <c r="K51" s="1">
        <f>+G51</f>
        <v>0.28738320000411477</v>
      </c>
      <c r="O51" s="1">
        <f ca="1">+C$11+C$12*$F51</f>
        <v>0.28480398391394324</v>
      </c>
      <c r="Q51" s="71">
        <f>+C51-15018.5</f>
        <v>43158.186000000002</v>
      </c>
    </row>
    <row r="52" spans="1:17">
      <c r="A52" s="56" t="s">
        <v>66</v>
      </c>
      <c r="B52" s="57" t="s">
        <v>47</v>
      </c>
      <c r="C52" s="58">
        <v>57773.464879999869</v>
      </c>
      <c r="D52" s="58">
        <v>1E-4</v>
      </c>
      <c r="E52" s="35">
        <f>+(C52-C$7)/C$8</f>
        <v>13113.570715193524</v>
      </c>
      <c r="F52" s="25">
        <f>ROUND(2*E52,0)/2-0.5</f>
        <v>13113</v>
      </c>
      <c r="G52" s="1">
        <f>+C52-(C$7+F52*C$8)</f>
        <v>0.2702461998705985</v>
      </c>
      <c r="K52" s="1">
        <f>+G52</f>
        <v>0.2702461998705985</v>
      </c>
      <c r="O52" s="1">
        <f ca="1">+C$11+C$12*$F52</f>
        <v>0.26921588263454677</v>
      </c>
      <c r="Q52" s="71">
        <f>+C52-15018.5</f>
        <v>42754.964879999869</v>
      </c>
    </row>
    <row r="53" spans="1:17" ht="12" customHeight="1">
      <c r="A53" s="56" t="s">
        <v>66</v>
      </c>
      <c r="B53" s="57" t="s">
        <v>49</v>
      </c>
      <c r="C53" s="58">
        <v>57816.320449999999</v>
      </c>
      <c r="D53" s="58">
        <v>1E-4</v>
      </c>
      <c r="E53" s="35">
        <f>+(C53-C$7)/C$8</f>
        <v>13204.074577738729</v>
      </c>
      <c r="F53" s="25">
        <f>ROUND(2*E53,0)/2-0.5</f>
        <v>13203.5</v>
      </c>
      <c r="G53" s="1">
        <f>+C53-(C$7+F53*C$8)</f>
        <v>0.27207520000229124</v>
      </c>
      <c r="K53" s="1">
        <f>+G53</f>
        <v>0.27207520000229124</v>
      </c>
      <c r="O53" s="1">
        <f ca="1">+C$11+C$12*$F53</f>
        <v>0.27087263326964406</v>
      </c>
      <c r="Q53" s="71">
        <f>+C53-15018.5</f>
        <v>42797.820449999999</v>
      </c>
    </row>
    <row r="54" spans="1:17" ht="12" customHeight="1">
      <c r="A54" s="56" t="s">
        <v>66</v>
      </c>
      <c r="B54" s="57" t="s">
        <v>47</v>
      </c>
      <c r="C54" s="58">
        <v>57847.337880000006</v>
      </c>
      <c r="D54" s="58">
        <v>1.1000000000000001E-3</v>
      </c>
      <c r="E54" s="35">
        <f>+(C54-C$7)/C$8</f>
        <v>13269.578250218587</v>
      </c>
      <c r="F54" s="25">
        <f>ROUND(2*E54,0)/2-0.5</f>
        <v>13269</v>
      </c>
      <c r="G54" s="1">
        <f>+C54-(C$7+F54*C$8)</f>
        <v>0.27381420000165235</v>
      </c>
      <c r="K54" s="1">
        <f>+G54</f>
        <v>0.27381420000165235</v>
      </c>
      <c r="O54" s="1">
        <f ca="1">+C$11+C$12*$F54</f>
        <v>0.27207171798344382</v>
      </c>
      <c r="Q54" s="71">
        <f>+C54-15018.5</f>
        <v>42828.837880000006</v>
      </c>
    </row>
    <row r="55" spans="1:17" ht="12" customHeight="1">
      <c r="A55" s="72" t="s">
        <v>137</v>
      </c>
      <c r="B55" s="73" t="s">
        <v>49</v>
      </c>
      <c r="C55" s="74">
        <v>59259.433299999997</v>
      </c>
      <c r="D55" s="72">
        <v>1.4E-3</v>
      </c>
      <c r="E55" s="35">
        <f t="shared" ref="E55:E61" si="11">+(C55-C$7)/C$8</f>
        <v>16251.689788858799</v>
      </c>
      <c r="F55" s="75">
        <f t="shared" ref="F55:F61" si="12">ROUND(2*E55,0)/2-0.5</f>
        <v>16251</v>
      </c>
      <c r="G55" s="1">
        <f t="shared" ref="G55:G61" si="13">+C55-(C$7+F55*C$8)</f>
        <v>0.32663019999745302</v>
      </c>
      <c r="K55" s="1">
        <f t="shared" ref="K55:K61" si="14">+G55</f>
        <v>0.32663019999745302</v>
      </c>
      <c r="O55" s="1">
        <f t="shared" ref="O55:O61" ca="1" si="15">+C$11+C$12*$F55</f>
        <v>0.32666210907582249</v>
      </c>
      <c r="Q55" s="71">
        <f t="shared" ref="Q55:Q61" si="16">+C55-15018.5</f>
        <v>44240.933299999997</v>
      </c>
    </row>
    <row r="56" spans="1:17" ht="12" customHeight="1">
      <c r="A56" s="72" t="s">
        <v>137</v>
      </c>
      <c r="B56" s="73" t="s">
        <v>49</v>
      </c>
      <c r="C56" s="74">
        <v>59260.381399999998</v>
      </c>
      <c r="D56" s="72">
        <v>8.9999999999999998E-4</v>
      </c>
      <c r="E56" s="35">
        <f t="shared" si="11"/>
        <v>16253.692018955819</v>
      </c>
      <c r="F56" s="75">
        <f t="shared" si="12"/>
        <v>16253</v>
      </c>
      <c r="G56" s="1">
        <f t="shared" si="13"/>
        <v>0.32768619999842485</v>
      </c>
      <c r="K56" s="1">
        <f t="shared" si="14"/>
        <v>0.32768619999842485</v>
      </c>
      <c r="O56" s="1">
        <f t="shared" ca="1" si="15"/>
        <v>0.32669872234952629</v>
      </c>
      <c r="Q56" s="71">
        <f t="shared" si="16"/>
        <v>44241.881399999998</v>
      </c>
    </row>
    <row r="57" spans="1:17" ht="12" customHeight="1">
      <c r="A57" s="72" t="s">
        <v>137</v>
      </c>
      <c r="B57" s="73" t="s">
        <v>49</v>
      </c>
      <c r="C57" s="74">
        <v>59260.619100000004</v>
      </c>
      <c r="D57" s="72">
        <v>4.0000000000000002E-4</v>
      </c>
      <c r="E57" s="35">
        <f t="shared" si="11"/>
        <v>16254.194001968235</v>
      </c>
      <c r="F57" s="75">
        <f t="shared" si="12"/>
        <v>16253.5</v>
      </c>
      <c r="G57" s="1">
        <f t="shared" si="13"/>
        <v>0.32862520000344375</v>
      </c>
      <c r="K57" s="1">
        <f t="shared" si="14"/>
        <v>0.32862520000344375</v>
      </c>
      <c r="O57" s="1">
        <f t="shared" ca="1" si="15"/>
        <v>0.32670787566795223</v>
      </c>
      <c r="Q57" s="71">
        <f t="shared" si="16"/>
        <v>44242.119100000004</v>
      </c>
    </row>
    <row r="58" spans="1:17" ht="12" customHeight="1">
      <c r="A58" s="72" t="s">
        <v>137</v>
      </c>
      <c r="B58" s="73" t="s">
        <v>49</v>
      </c>
      <c r="C58" s="74">
        <v>59274.3511</v>
      </c>
      <c r="D58" s="72">
        <v>4.4000000000000003E-3</v>
      </c>
      <c r="E58" s="35">
        <f t="shared" si="11"/>
        <v>16283.193710535093</v>
      </c>
      <c r="F58" s="75">
        <f t="shared" si="12"/>
        <v>16282.5</v>
      </c>
      <c r="G58" s="1">
        <f t="shared" si="13"/>
        <v>0.32848720000038156</v>
      </c>
      <c r="K58" s="1">
        <f t="shared" si="14"/>
        <v>0.32848720000038156</v>
      </c>
      <c r="O58" s="1">
        <f t="shared" ca="1" si="15"/>
        <v>0.32723876813665748</v>
      </c>
      <c r="Q58" s="71">
        <f t="shared" si="16"/>
        <v>44255.8511</v>
      </c>
    </row>
    <row r="59" spans="1:17" ht="12" customHeight="1">
      <c r="A59" s="72" t="s">
        <v>137</v>
      </c>
      <c r="B59" s="73" t="s">
        <v>49</v>
      </c>
      <c r="C59" s="74">
        <v>59274.5867</v>
      </c>
      <c r="D59" s="72">
        <v>4.1999999999999997E-3</v>
      </c>
      <c r="E59" s="35">
        <f t="shared" si="11"/>
        <v>16283.691258695475</v>
      </c>
      <c r="F59" s="75">
        <f t="shared" si="12"/>
        <v>16283</v>
      </c>
      <c r="G59" s="1">
        <f t="shared" si="13"/>
        <v>0.32732620000024326</v>
      </c>
      <c r="K59" s="1">
        <f t="shared" si="14"/>
        <v>0.32732620000024326</v>
      </c>
      <c r="O59" s="1">
        <f t="shared" ca="1" si="15"/>
        <v>0.32724792145508341</v>
      </c>
      <c r="Q59" s="71">
        <f t="shared" si="16"/>
        <v>44256.0867</v>
      </c>
    </row>
    <row r="60" spans="1:17" ht="12" customHeight="1">
      <c r="A60" s="72" t="s">
        <v>138</v>
      </c>
      <c r="B60" s="73" t="s">
        <v>47</v>
      </c>
      <c r="C60" s="74">
        <v>59512.537100000001</v>
      </c>
      <c r="D60" s="72">
        <v>2.9999999999999997E-4</v>
      </c>
      <c r="E60" s="35">
        <f t="shared" si="11"/>
        <v>16786.203074408371</v>
      </c>
      <c r="F60" s="75">
        <f t="shared" si="12"/>
        <v>16785.5</v>
      </c>
      <c r="G60" s="1">
        <f t="shared" si="13"/>
        <v>0.33292120000260184</v>
      </c>
      <c r="K60" s="1">
        <f t="shared" si="14"/>
        <v>0.33292120000260184</v>
      </c>
      <c r="O60" s="1">
        <f t="shared" ca="1" si="15"/>
        <v>0.33644700647316533</v>
      </c>
      <c r="Q60" s="71">
        <f t="shared" si="16"/>
        <v>44494.037100000001</v>
      </c>
    </row>
    <row r="61" spans="1:17" ht="12" customHeight="1">
      <c r="A61" s="72" t="s">
        <v>139</v>
      </c>
      <c r="B61" s="73" t="s">
        <v>49</v>
      </c>
      <c r="C61" s="74">
        <v>59685.384299999998</v>
      </c>
      <c r="D61" s="72">
        <v>2.0000000000000001E-4</v>
      </c>
      <c r="E61" s="35">
        <f t="shared" si="11"/>
        <v>17151.227719514609</v>
      </c>
      <c r="F61" s="75">
        <f t="shared" si="12"/>
        <v>17150.5</v>
      </c>
      <c r="G61" s="1">
        <f t="shared" si="13"/>
        <v>0.34459119999519316</v>
      </c>
      <c r="K61" s="1">
        <f t="shared" si="14"/>
        <v>0.34459119999519316</v>
      </c>
      <c r="O61" s="1">
        <f t="shared" ca="1" si="15"/>
        <v>0.3431289289241104</v>
      </c>
      <c r="Q61" s="71">
        <f t="shared" si="16"/>
        <v>44666.884299999998</v>
      </c>
    </row>
    <row r="62" spans="1:17" ht="12" customHeight="1"/>
    <row r="63" spans="1:17" ht="12" customHeight="1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11" sqref="A11"/>
    </sheetView>
  </sheetViews>
  <sheetFormatPr defaultRowHeight="12.75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9" t="s">
        <v>67</v>
      </c>
      <c r="I1" s="60" t="s">
        <v>68</v>
      </c>
      <c r="J1" s="61" t="s">
        <v>38</v>
      </c>
    </row>
    <row r="2" spans="1:16">
      <c r="I2" s="62" t="s">
        <v>69</v>
      </c>
      <c r="J2" s="63" t="s">
        <v>37</v>
      </c>
    </row>
    <row r="3" spans="1:16">
      <c r="A3" s="64" t="s">
        <v>70</v>
      </c>
      <c r="I3" s="62" t="s">
        <v>71</v>
      </c>
      <c r="J3" s="63" t="s">
        <v>35</v>
      </c>
    </row>
    <row r="4" spans="1:16">
      <c r="I4" s="62" t="s">
        <v>72</v>
      </c>
      <c r="J4" s="63" t="s">
        <v>35</v>
      </c>
    </row>
    <row r="5" spans="1:16">
      <c r="I5" s="65" t="s">
        <v>63</v>
      </c>
      <c r="J5" s="66" t="s">
        <v>36</v>
      </c>
    </row>
    <row r="11" spans="1:16" ht="12.75" customHeight="1">
      <c r="A11" s="23" t="str">
        <f t="shared" ref="A11:A23" si="0">P11</f>
        <v>IBVS 6050 </v>
      </c>
      <c r="B11" s="3" t="str">
        <f t="shared" ref="B11:B23" si="1">IF(H11=INT(H11),"I","II")</f>
        <v>II</v>
      </c>
      <c r="C11" s="23">
        <f t="shared" ref="C11:C23" si="2">1*G11</f>
        <v>55932.814400000003</v>
      </c>
      <c r="D11" t="str">
        <f t="shared" ref="D11:D23" si="3">VLOOKUP(F11,I$1:J$5,2,FALSE)</f>
        <v>vis</v>
      </c>
      <c r="E11">
        <f>VLOOKUP(C11,Active!C$21:E$969,3,FALSE)</f>
        <v>9226.4219026782321</v>
      </c>
      <c r="F11" s="3" t="s">
        <v>63</v>
      </c>
      <c r="G11" t="str">
        <f t="shared" ref="G11:G23" si="4">MID(I11,3,LEN(I11)-3)</f>
        <v>55932.8144</v>
      </c>
      <c r="H11" s="23">
        <f t="shared" ref="H11:H23" si="5">1*K11</f>
        <v>9226.5</v>
      </c>
      <c r="I11" s="67" t="s">
        <v>73</v>
      </c>
      <c r="J11" s="68" t="s">
        <v>74</v>
      </c>
      <c r="K11" s="67">
        <v>9226.5</v>
      </c>
      <c r="L11" s="67" t="s">
        <v>75</v>
      </c>
      <c r="M11" s="68" t="s">
        <v>76</v>
      </c>
      <c r="N11" s="68" t="s">
        <v>68</v>
      </c>
      <c r="O11" s="69" t="s">
        <v>77</v>
      </c>
      <c r="P11" s="70" t="s">
        <v>78</v>
      </c>
    </row>
    <row r="12" spans="1:16" ht="12.75" customHeight="1">
      <c r="A12" s="23" t="str">
        <f t="shared" si="0"/>
        <v>IBVS 6029 </v>
      </c>
      <c r="B12" s="3" t="str">
        <f t="shared" si="1"/>
        <v>I</v>
      </c>
      <c r="C12" s="23">
        <f t="shared" si="2"/>
        <v>55944.8923</v>
      </c>
      <c r="D12" t="str">
        <f t="shared" si="3"/>
        <v>vis</v>
      </c>
      <c r="E12">
        <f>VLOOKUP(C12,Active!C$21:E$969,3,FALSE)</f>
        <v>9251.9284261343691</v>
      </c>
      <c r="F12" s="3" t="s">
        <v>63</v>
      </c>
      <c r="G12" t="str">
        <f t="shared" si="4"/>
        <v>55944.8923</v>
      </c>
      <c r="H12" s="23">
        <f t="shared" si="5"/>
        <v>9252</v>
      </c>
      <c r="I12" s="67" t="s">
        <v>79</v>
      </c>
      <c r="J12" s="68" t="s">
        <v>80</v>
      </c>
      <c r="K12" s="67">
        <v>9252</v>
      </c>
      <c r="L12" s="67" t="s">
        <v>81</v>
      </c>
      <c r="M12" s="68" t="s">
        <v>76</v>
      </c>
      <c r="N12" s="68" t="s">
        <v>63</v>
      </c>
      <c r="O12" s="69" t="s">
        <v>82</v>
      </c>
      <c r="P12" s="70" t="s">
        <v>83</v>
      </c>
    </row>
    <row r="13" spans="1:16" ht="12.75" customHeight="1">
      <c r="A13" s="23" t="str">
        <f t="shared" si="0"/>
        <v>BAVM 232 </v>
      </c>
      <c r="B13" s="3" t="str">
        <f t="shared" si="1"/>
        <v>I</v>
      </c>
      <c r="C13" s="23">
        <f t="shared" si="2"/>
        <v>56002.660100000001</v>
      </c>
      <c r="D13" t="str">
        <f t="shared" si="3"/>
        <v>vis</v>
      </c>
      <c r="E13">
        <f>VLOOKUP(C13,Active!C$21:E$969,3,FALSE)</f>
        <v>9373.9244474385559</v>
      </c>
      <c r="F13" s="3" t="s">
        <v>63</v>
      </c>
      <c r="G13" t="str">
        <f t="shared" si="4"/>
        <v>56002.6601</v>
      </c>
      <c r="H13" s="23">
        <f t="shared" si="5"/>
        <v>9374</v>
      </c>
      <c r="I13" s="67" t="s">
        <v>84</v>
      </c>
      <c r="J13" s="68" t="s">
        <v>85</v>
      </c>
      <c r="K13" s="67">
        <v>9374</v>
      </c>
      <c r="L13" s="67" t="s">
        <v>86</v>
      </c>
      <c r="M13" s="68" t="s">
        <v>76</v>
      </c>
      <c r="N13" s="68" t="s">
        <v>87</v>
      </c>
      <c r="O13" s="69" t="s">
        <v>88</v>
      </c>
      <c r="P13" s="70" t="s">
        <v>89</v>
      </c>
    </row>
    <row r="14" spans="1:16" ht="12.75" customHeight="1">
      <c r="A14" s="23" t="str">
        <f t="shared" si="0"/>
        <v>IBVS 6029 </v>
      </c>
      <c r="B14" s="3" t="str">
        <f t="shared" si="1"/>
        <v>I</v>
      </c>
      <c r="C14" s="23">
        <f t="shared" si="2"/>
        <v>56029.654699999999</v>
      </c>
      <c r="D14" t="str">
        <f t="shared" si="3"/>
        <v>vis</v>
      </c>
      <c r="E14">
        <f>VLOOKUP(C14,Active!C$21:E$969,3,FALSE)</f>
        <v>9430.9325695532589</v>
      </c>
      <c r="F14" s="3" t="s">
        <v>63</v>
      </c>
      <c r="G14" t="str">
        <f t="shared" si="4"/>
        <v>56029.6547</v>
      </c>
      <c r="H14" s="23">
        <f t="shared" si="5"/>
        <v>9431</v>
      </c>
      <c r="I14" s="67" t="s">
        <v>90</v>
      </c>
      <c r="J14" s="68" t="s">
        <v>91</v>
      </c>
      <c r="K14" s="67" t="s">
        <v>92</v>
      </c>
      <c r="L14" s="67" t="s">
        <v>93</v>
      </c>
      <c r="M14" s="68" t="s">
        <v>76</v>
      </c>
      <c r="N14" s="68" t="s">
        <v>63</v>
      </c>
      <c r="O14" s="69" t="s">
        <v>82</v>
      </c>
      <c r="P14" s="70" t="s">
        <v>83</v>
      </c>
    </row>
    <row r="15" spans="1:16" ht="12.75" customHeight="1">
      <c r="A15" s="23" t="str">
        <f t="shared" si="0"/>
        <v>IBVS 6063 </v>
      </c>
      <c r="B15" s="3" t="str">
        <f t="shared" si="1"/>
        <v>I</v>
      </c>
      <c r="C15" s="23">
        <f t="shared" si="2"/>
        <v>56311.881399999998</v>
      </c>
      <c r="D15" t="str">
        <f t="shared" si="3"/>
        <v>vis</v>
      </c>
      <c r="E15">
        <f>VLOOKUP(C15,Active!C$21:E$969,3,FALSE)</f>
        <v>10026.948594151903</v>
      </c>
      <c r="F15" s="3" t="s">
        <v>63</v>
      </c>
      <c r="G15" t="str">
        <f t="shared" si="4"/>
        <v>56311.8814</v>
      </c>
      <c r="H15" s="23">
        <f t="shared" si="5"/>
        <v>10027</v>
      </c>
      <c r="I15" s="67" t="s">
        <v>94</v>
      </c>
      <c r="J15" s="68" t="s">
        <v>95</v>
      </c>
      <c r="K15" s="67" t="s">
        <v>96</v>
      </c>
      <c r="L15" s="67" t="s">
        <v>97</v>
      </c>
      <c r="M15" s="68" t="s">
        <v>76</v>
      </c>
      <c r="N15" s="68" t="s">
        <v>63</v>
      </c>
      <c r="O15" s="69" t="s">
        <v>82</v>
      </c>
      <c r="P15" s="70" t="s">
        <v>98</v>
      </c>
    </row>
    <row r="16" spans="1:16" ht="12.75" customHeight="1">
      <c r="A16" s="23" t="str">
        <f t="shared" si="0"/>
        <v>BAVM 234 </v>
      </c>
      <c r="B16" s="3" t="str">
        <f t="shared" si="1"/>
        <v>II</v>
      </c>
      <c r="C16" s="23">
        <f t="shared" si="2"/>
        <v>56698.526899999997</v>
      </c>
      <c r="D16" t="str">
        <f t="shared" si="3"/>
        <v>vis</v>
      </c>
      <c r="E16">
        <f>VLOOKUP(C16,Active!C$21:E$969,3,FALSE)</f>
        <v>10843.479821845651</v>
      </c>
      <c r="F16" s="3" t="s">
        <v>63</v>
      </c>
      <c r="G16" t="str">
        <f t="shared" si="4"/>
        <v>56698.5269</v>
      </c>
      <c r="H16" s="23">
        <f t="shared" si="5"/>
        <v>10843.5</v>
      </c>
      <c r="I16" s="67" t="s">
        <v>99</v>
      </c>
      <c r="J16" s="68" t="s">
        <v>100</v>
      </c>
      <c r="K16" s="67" t="s">
        <v>101</v>
      </c>
      <c r="L16" s="67" t="s">
        <v>102</v>
      </c>
      <c r="M16" s="68" t="s">
        <v>76</v>
      </c>
      <c r="N16" s="68" t="s">
        <v>87</v>
      </c>
      <c r="O16" s="69" t="s">
        <v>103</v>
      </c>
      <c r="P16" s="70" t="s">
        <v>104</v>
      </c>
    </row>
    <row r="17" spans="1:16" ht="12.75" customHeight="1">
      <c r="A17" s="23" t="str">
        <f t="shared" si="0"/>
        <v>BAVM 238 </v>
      </c>
      <c r="B17" s="3" t="str">
        <f t="shared" si="1"/>
        <v>II</v>
      </c>
      <c r="C17" s="23">
        <f t="shared" si="2"/>
        <v>56706.576999999997</v>
      </c>
      <c r="D17" t="str">
        <f t="shared" si="3"/>
        <v>vis</v>
      </c>
      <c r="E17">
        <f>VLOOKUP(C17,Active!C$21:E$969,3,FALSE)</f>
        <v>10860.480299120203</v>
      </c>
      <c r="F17" s="3" t="s">
        <v>63</v>
      </c>
      <c r="G17" t="str">
        <f t="shared" si="4"/>
        <v>56706.5770</v>
      </c>
      <c r="H17" s="23">
        <f t="shared" si="5"/>
        <v>10860.5</v>
      </c>
      <c r="I17" s="67" t="s">
        <v>105</v>
      </c>
      <c r="J17" s="68" t="s">
        <v>106</v>
      </c>
      <c r="K17" s="67" t="s">
        <v>107</v>
      </c>
      <c r="L17" s="67" t="s">
        <v>108</v>
      </c>
      <c r="M17" s="68" t="s">
        <v>76</v>
      </c>
      <c r="N17" s="68" t="s">
        <v>87</v>
      </c>
      <c r="O17" s="69" t="s">
        <v>103</v>
      </c>
      <c r="P17" s="70" t="s">
        <v>109</v>
      </c>
    </row>
    <row r="18" spans="1:16" ht="12.75" customHeight="1">
      <c r="A18" s="23" t="str">
        <f t="shared" si="0"/>
        <v>BAVM 238 </v>
      </c>
      <c r="B18" s="3" t="str">
        <f t="shared" si="1"/>
        <v>II</v>
      </c>
      <c r="C18" s="23">
        <f t="shared" si="2"/>
        <v>56709.4202</v>
      </c>
      <c r="D18" t="str">
        <f t="shared" si="3"/>
        <v>vis</v>
      </c>
      <c r="E18">
        <f>VLOOKUP(C18,Active!C$21:E$969,3,FALSE)</f>
        <v>10866.484666393535</v>
      </c>
      <c r="F18" s="3" t="s">
        <v>63</v>
      </c>
      <c r="G18" t="str">
        <f t="shared" si="4"/>
        <v>56709.4202</v>
      </c>
      <c r="H18" s="23">
        <f t="shared" si="5"/>
        <v>10866.5</v>
      </c>
      <c r="I18" s="67" t="s">
        <v>110</v>
      </c>
      <c r="J18" s="68" t="s">
        <v>111</v>
      </c>
      <c r="K18" s="67" t="s">
        <v>112</v>
      </c>
      <c r="L18" s="67" t="s">
        <v>113</v>
      </c>
      <c r="M18" s="68" t="s">
        <v>76</v>
      </c>
      <c r="N18" s="68" t="s">
        <v>87</v>
      </c>
      <c r="O18" s="69" t="s">
        <v>103</v>
      </c>
      <c r="P18" s="70" t="s">
        <v>109</v>
      </c>
    </row>
    <row r="19" spans="1:16" ht="12.75" customHeight="1">
      <c r="A19" s="23" t="str">
        <f t="shared" si="0"/>
        <v>BAVM 238 </v>
      </c>
      <c r="B19" s="3" t="str">
        <f t="shared" si="1"/>
        <v>II</v>
      </c>
      <c r="C19" s="23">
        <f t="shared" si="2"/>
        <v>56711.310400000002</v>
      </c>
      <c r="D19" t="str">
        <f t="shared" si="3"/>
        <v>vis</v>
      </c>
      <c r="E19">
        <f>VLOOKUP(C19,Active!C$21:E$969,3,FALSE)</f>
        <v>10870.476455581791</v>
      </c>
      <c r="F19" s="3" t="s">
        <v>63</v>
      </c>
      <c r="G19" t="str">
        <f t="shared" si="4"/>
        <v>56711.3104</v>
      </c>
      <c r="H19" s="23">
        <f t="shared" si="5"/>
        <v>10870.5</v>
      </c>
      <c r="I19" s="67" t="s">
        <v>114</v>
      </c>
      <c r="J19" s="68" t="s">
        <v>115</v>
      </c>
      <c r="K19" s="67" t="s">
        <v>116</v>
      </c>
      <c r="L19" s="67" t="s">
        <v>117</v>
      </c>
      <c r="M19" s="68" t="s">
        <v>76</v>
      </c>
      <c r="N19" s="68" t="s">
        <v>87</v>
      </c>
      <c r="O19" s="69" t="s">
        <v>103</v>
      </c>
      <c r="P19" s="70" t="s">
        <v>109</v>
      </c>
    </row>
    <row r="20" spans="1:16" ht="12.75" customHeight="1">
      <c r="A20" s="23" t="str">
        <f t="shared" si="0"/>
        <v>BAVM 241 (=IBVS 6157) </v>
      </c>
      <c r="B20" s="3" t="str">
        <f t="shared" si="1"/>
        <v>I</v>
      </c>
      <c r="C20" s="23">
        <f t="shared" si="2"/>
        <v>56728.595699999998</v>
      </c>
      <c r="D20" t="str">
        <f t="shared" si="3"/>
        <v>vis</v>
      </c>
      <c r="E20">
        <f>VLOOKUP(C20,Active!C$21:E$969,3,FALSE)</f>
        <v>10906.9801449563</v>
      </c>
      <c r="F20" s="3" t="s">
        <v>63</v>
      </c>
      <c r="G20" t="str">
        <f t="shared" si="4"/>
        <v>56728.5957</v>
      </c>
      <c r="H20" s="23">
        <f t="shared" si="5"/>
        <v>10907</v>
      </c>
      <c r="I20" s="67" t="s">
        <v>118</v>
      </c>
      <c r="J20" s="68" t="s">
        <v>119</v>
      </c>
      <c r="K20" s="67" t="s">
        <v>120</v>
      </c>
      <c r="L20" s="67" t="s">
        <v>121</v>
      </c>
      <c r="M20" s="68" t="s">
        <v>76</v>
      </c>
      <c r="N20" s="68" t="s">
        <v>63</v>
      </c>
      <c r="O20" s="69" t="s">
        <v>122</v>
      </c>
      <c r="P20" s="70" t="s">
        <v>123</v>
      </c>
    </row>
    <row r="21" spans="1:16" ht="12.75" customHeight="1">
      <c r="A21" s="23" t="str">
        <f t="shared" si="0"/>
        <v>BAVM 239 </v>
      </c>
      <c r="B21" s="3" t="str">
        <f t="shared" si="1"/>
        <v>I</v>
      </c>
      <c r="C21" s="23">
        <f t="shared" si="2"/>
        <v>57035.449099999998</v>
      </c>
      <c r="D21" t="str">
        <f t="shared" si="3"/>
        <v>vis</v>
      </c>
      <c r="E21">
        <f>VLOOKUP(C21,Active!C$21:E$969,3,FALSE)</f>
        <v>11555.003679237707</v>
      </c>
      <c r="F21" s="3" t="s">
        <v>63</v>
      </c>
      <c r="G21" t="str">
        <f t="shared" si="4"/>
        <v>57035.4491</v>
      </c>
      <c r="H21" s="23">
        <f t="shared" si="5"/>
        <v>11555</v>
      </c>
      <c r="I21" s="67" t="s">
        <v>124</v>
      </c>
      <c r="J21" s="68" t="s">
        <v>125</v>
      </c>
      <c r="K21" s="67" t="s">
        <v>126</v>
      </c>
      <c r="L21" s="67" t="s">
        <v>127</v>
      </c>
      <c r="M21" s="68" t="s">
        <v>76</v>
      </c>
      <c r="N21" s="68" t="s">
        <v>87</v>
      </c>
      <c r="O21" s="69" t="s">
        <v>103</v>
      </c>
      <c r="P21" s="70" t="s">
        <v>128</v>
      </c>
    </row>
    <row r="22" spans="1:16" ht="12.75" customHeight="1">
      <c r="A22" s="23" t="str">
        <f t="shared" si="0"/>
        <v>BAVM 239 </v>
      </c>
      <c r="B22" s="3" t="str">
        <f t="shared" si="1"/>
        <v>II</v>
      </c>
      <c r="C22" s="23">
        <f t="shared" si="2"/>
        <v>57035.6872</v>
      </c>
      <c r="D22" t="str">
        <f t="shared" si="3"/>
        <v>vis</v>
      </c>
      <c r="E22">
        <f>VLOOKUP(C22,Active!C$21:E$969,3,FALSE)</f>
        <v>11555.506506983835</v>
      </c>
      <c r="F22" s="3" t="s">
        <v>63</v>
      </c>
      <c r="G22" t="str">
        <f t="shared" si="4"/>
        <v>57035.6872</v>
      </c>
      <c r="H22" s="23">
        <f t="shared" si="5"/>
        <v>11555.5</v>
      </c>
      <c r="I22" s="67" t="s">
        <v>129</v>
      </c>
      <c r="J22" s="68" t="s">
        <v>130</v>
      </c>
      <c r="K22" s="67" t="s">
        <v>131</v>
      </c>
      <c r="L22" s="67" t="s">
        <v>132</v>
      </c>
      <c r="M22" s="68" t="s">
        <v>76</v>
      </c>
      <c r="N22" s="68" t="s">
        <v>87</v>
      </c>
      <c r="O22" s="69" t="s">
        <v>103</v>
      </c>
      <c r="P22" s="70" t="s">
        <v>128</v>
      </c>
    </row>
    <row r="23" spans="1:16" ht="12.75" customHeight="1">
      <c r="A23" s="23" t="str">
        <f t="shared" si="0"/>
        <v>BAVM 241 (=IBVS 6157) </v>
      </c>
      <c r="B23" s="3" t="str">
        <f t="shared" si="1"/>
        <v>I</v>
      </c>
      <c r="C23" s="23">
        <f t="shared" si="2"/>
        <v>57090.380700000002</v>
      </c>
      <c r="D23" t="str">
        <f t="shared" si="3"/>
        <v>vis</v>
      </c>
      <c r="E23">
        <f>VLOOKUP(C23,Active!C$21:E$969,3,FALSE)</f>
        <v>11671.010116108651</v>
      </c>
      <c r="F23" s="3" t="s">
        <v>63</v>
      </c>
      <c r="G23" t="str">
        <f t="shared" si="4"/>
        <v>57090.3807</v>
      </c>
      <c r="H23" s="23">
        <f t="shared" si="5"/>
        <v>11671</v>
      </c>
      <c r="I23" s="67" t="s">
        <v>133</v>
      </c>
      <c r="J23" s="68" t="s">
        <v>134</v>
      </c>
      <c r="K23" s="67" t="s">
        <v>135</v>
      </c>
      <c r="L23" s="67" t="s">
        <v>136</v>
      </c>
      <c r="M23" s="68" t="s">
        <v>76</v>
      </c>
      <c r="N23" s="68" t="s">
        <v>87</v>
      </c>
      <c r="O23" s="69" t="s">
        <v>103</v>
      </c>
      <c r="P23" s="70" t="s">
        <v>123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2023-01-25T05:20:17Z</dcterms:created>
  <dcterms:modified xsi:type="dcterms:W3CDTF">2023-01-25T05:20:41Z</dcterms:modified>
</cp:coreProperties>
</file>