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F7448CF-2F49-4C90-8F98-7220C73F0E38}" xr6:coauthVersionLast="47" xr6:coauthVersionMax="47" xr10:uidLastSave="{00000000-0000-0000-0000-000000000000}"/>
  <bookViews>
    <workbookView xWindow="12915" yWindow="1065" windowWidth="12150" windowHeight="14295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52" i="1" l="1"/>
  <c r="Q53" i="1"/>
  <c r="Q54" i="1"/>
  <c r="D9" i="1"/>
  <c r="C9" i="1"/>
  <c r="D11" i="1"/>
  <c r="V19" i="1" s="1"/>
  <c r="D12" i="1"/>
  <c r="Q51" i="1"/>
  <c r="D13" i="1"/>
  <c r="V14" i="1" s="1"/>
  <c r="Q46" i="1"/>
  <c r="Q47" i="1"/>
  <c r="Q48" i="1"/>
  <c r="Q49" i="1"/>
  <c r="V24" i="1"/>
  <c r="V21" i="1"/>
  <c r="Q50" i="1"/>
  <c r="C7" i="1"/>
  <c r="E39" i="1" s="1"/>
  <c r="C8" i="1"/>
  <c r="E52" i="1" s="1"/>
  <c r="F52" i="1" s="1"/>
  <c r="Q43" i="1"/>
  <c r="Q45" i="1"/>
  <c r="Q44" i="1"/>
  <c r="Q39" i="1"/>
  <c r="Q40" i="1"/>
  <c r="Q41" i="1"/>
  <c r="Q42" i="1"/>
  <c r="G20" i="2"/>
  <c r="C20" i="2"/>
  <c r="C21" i="1"/>
  <c r="G19" i="2"/>
  <c r="C19" i="2"/>
  <c r="G18" i="2"/>
  <c r="C18" i="2"/>
  <c r="G17" i="2"/>
  <c r="C17" i="2"/>
  <c r="G15" i="2"/>
  <c r="C15" i="2"/>
  <c r="G16" i="2"/>
  <c r="C16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5" i="2"/>
  <c r="D15" i="2"/>
  <c r="B15" i="2"/>
  <c r="A15" i="2"/>
  <c r="H16" i="2"/>
  <c r="D16" i="2"/>
  <c r="B16" i="2"/>
  <c r="A1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8" i="1"/>
  <c r="E22" i="1"/>
  <c r="F22" i="1" s="1"/>
  <c r="Q36" i="1"/>
  <c r="Q34" i="1"/>
  <c r="Q35" i="1"/>
  <c r="V4" i="1"/>
  <c r="V6" i="1"/>
  <c r="V7" i="1"/>
  <c r="V8" i="1"/>
  <c r="V9" i="1"/>
  <c r="V12" i="1"/>
  <c r="F16" i="1"/>
  <c r="V15" i="1"/>
  <c r="V16" i="1"/>
  <c r="V17" i="1"/>
  <c r="A21" i="1"/>
  <c r="Q22" i="1"/>
  <c r="Q23" i="1"/>
  <c r="Q24" i="1"/>
  <c r="Q25" i="1"/>
  <c r="Q26" i="1"/>
  <c r="Q27" i="1"/>
  <c r="Q28" i="1"/>
  <c r="Q29" i="1"/>
  <c r="Q30" i="1"/>
  <c r="Q31" i="1"/>
  <c r="Q32" i="1"/>
  <c r="Q33" i="1"/>
  <c r="Q37" i="1"/>
  <c r="V22" i="1"/>
  <c r="V20" i="1"/>
  <c r="E41" i="1"/>
  <c r="F41" i="1" s="1"/>
  <c r="E17" i="2" l="1"/>
  <c r="F39" i="1"/>
  <c r="P39" i="1" s="1"/>
  <c r="E38" i="1"/>
  <c r="F38" i="1" s="1"/>
  <c r="E44" i="1"/>
  <c r="F44" i="1" s="1"/>
  <c r="E21" i="1"/>
  <c r="F21" i="1" s="1"/>
  <c r="P21" i="1" s="1"/>
  <c r="E27" i="1"/>
  <c r="F27" i="1" s="1"/>
  <c r="P27" i="1" s="1"/>
  <c r="E50" i="1"/>
  <c r="F50" i="1" s="1"/>
  <c r="E47" i="1"/>
  <c r="F47" i="1" s="1"/>
  <c r="E34" i="1"/>
  <c r="E31" i="1"/>
  <c r="F31" i="1" s="1"/>
  <c r="D16" i="1"/>
  <c r="D19" i="1" s="1"/>
  <c r="V13" i="1"/>
  <c r="V5" i="1"/>
  <c r="E32" i="1"/>
  <c r="F32" i="1" s="1"/>
  <c r="G32" i="1" s="1"/>
  <c r="I32" i="1" s="1"/>
  <c r="V23" i="1"/>
  <c r="E45" i="1"/>
  <c r="F45" i="1" s="1"/>
  <c r="E37" i="1"/>
  <c r="F37" i="1" s="1"/>
  <c r="E26" i="1"/>
  <c r="F26" i="1" s="1"/>
  <c r="P26" i="1" s="1"/>
  <c r="E16" i="2"/>
  <c r="E51" i="1"/>
  <c r="F51" i="1" s="1"/>
  <c r="E43" i="1"/>
  <c r="F43" i="1" s="1"/>
  <c r="P43" i="1" s="1"/>
  <c r="E46" i="1"/>
  <c r="F46" i="1" s="1"/>
  <c r="P46" i="1" s="1"/>
  <c r="E54" i="1"/>
  <c r="F54" i="1" s="1"/>
  <c r="F17" i="1"/>
  <c r="V11" i="1"/>
  <c r="V3" i="1"/>
  <c r="E25" i="1"/>
  <c r="F25" i="1" s="1"/>
  <c r="E29" i="1"/>
  <c r="F29" i="1" s="1"/>
  <c r="E40" i="1"/>
  <c r="F40" i="1" s="1"/>
  <c r="P40" i="1" s="1"/>
  <c r="S40" i="1" s="1"/>
  <c r="Q21" i="1"/>
  <c r="E11" i="2"/>
  <c r="E49" i="1"/>
  <c r="F49" i="1" s="1"/>
  <c r="P49" i="1" s="1"/>
  <c r="E33" i="1"/>
  <c r="F33" i="1" s="1"/>
  <c r="V18" i="1"/>
  <c r="V10" i="1"/>
  <c r="V2" i="1"/>
  <c r="E48" i="1"/>
  <c r="F48" i="1" s="1"/>
  <c r="E53" i="1"/>
  <c r="F53" i="1" s="1"/>
  <c r="E24" i="1"/>
  <c r="F24" i="1" s="1"/>
  <c r="E15" i="2"/>
  <c r="E28" i="1"/>
  <c r="F28" i="1" s="1"/>
  <c r="E35" i="1"/>
  <c r="F35" i="1" s="1"/>
  <c r="P35" i="1" s="1"/>
  <c r="S35" i="1" s="1"/>
  <c r="E36" i="1"/>
  <c r="E42" i="1"/>
  <c r="E19" i="2"/>
  <c r="C17" i="1"/>
  <c r="E23" i="1"/>
  <c r="F23" i="1" s="1"/>
  <c r="E30" i="1"/>
  <c r="F30" i="1" s="1"/>
  <c r="G23" i="1"/>
  <c r="I23" i="1" s="1"/>
  <c r="P23" i="1"/>
  <c r="S23" i="1" s="1"/>
  <c r="G22" i="1"/>
  <c r="I22" i="1" s="1"/>
  <c r="P22" i="1"/>
  <c r="P44" i="1"/>
  <c r="G44" i="1"/>
  <c r="K44" i="1" s="1"/>
  <c r="P31" i="1"/>
  <c r="G31" i="1"/>
  <c r="J31" i="1" s="1"/>
  <c r="P32" i="1"/>
  <c r="G45" i="1"/>
  <c r="K45" i="1" s="1"/>
  <c r="P45" i="1"/>
  <c r="P25" i="1"/>
  <c r="G25" i="1"/>
  <c r="I25" i="1" s="1"/>
  <c r="G40" i="1"/>
  <c r="J40" i="1" s="1"/>
  <c r="P30" i="1"/>
  <c r="G30" i="1"/>
  <c r="I30" i="1" s="1"/>
  <c r="G41" i="1"/>
  <c r="J41" i="1" s="1"/>
  <c r="P41" i="1"/>
  <c r="G26" i="1"/>
  <c r="I26" i="1" s="1"/>
  <c r="G49" i="1"/>
  <c r="K49" i="1" s="1"/>
  <c r="G35" i="1"/>
  <c r="J35" i="1" s="1"/>
  <c r="G39" i="1"/>
  <c r="J39" i="1" s="1"/>
  <c r="G54" i="1"/>
  <c r="K54" i="1" s="1"/>
  <c r="P54" i="1"/>
  <c r="S54" i="1" s="1"/>
  <c r="G52" i="1"/>
  <c r="K52" i="1" s="1"/>
  <c r="P52" i="1"/>
  <c r="S52" i="1" s="1"/>
  <c r="G53" i="1"/>
  <c r="K53" i="1" s="1"/>
  <c r="P53" i="1"/>
  <c r="S41" i="1" l="1"/>
  <c r="G50" i="1"/>
  <c r="K50" i="1" s="1"/>
  <c r="P50" i="1"/>
  <c r="S50" i="1" s="1"/>
  <c r="E20" i="2"/>
  <c r="F42" i="1"/>
  <c r="G43" i="1"/>
  <c r="K43" i="1" s="1"/>
  <c r="G29" i="1"/>
  <c r="I29" i="1" s="1"/>
  <c r="P29" i="1"/>
  <c r="S29" i="1" s="1"/>
  <c r="G27" i="1"/>
  <c r="I27" i="1" s="1"/>
  <c r="E18" i="2"/>
  <c r="P38" i="1"/>
  <c r="G38" i="1"/>
  <c r="J38" i="1" s="1"/>
  <c r="S32" i="1"/>
  <c r="S31" i="1"/>
  <c r="S39" i="1"/>
  <c r="S45" i="1"/>
  <c r="P33" i="1"/>
  <c r="S33" i="1" s="1"/>
  <c r="G33" i="1"/>
  <c r="J33" i="1" s="1"/>
  <c r="P48" i="1"/>
  <c r="S48" i="1" s="1"/>
  <c r="G48" i="1"/>
  <c r="K48" i="1" s="1"/>
  <c r="F36" i="1"/>
  <c r="E14" i="2"/>
  <c r="P51" i="1"/>
  <c r="S51" i="1" s="1"/>
  <c r="G51" i="1"/>
  <c r="K51" i="1" s="1"/>
  <c r="P28" i="1"/>
  <c r="S28" i="1" s="1"/>
  <c r="G28" i="1"/>
  <c r="I28" i="1" s="1"/>
  <c r="G46" i="1"/>
  <c r="E13" i="2"/>
  <c r="P37" i="1"/>
  <c r="G37" i="1"/>
  <c r="K37" i="1" s="1"/>
  <c r="F34" i="1"/>
  <c r="E12" i="2"/>
  <c r="G24" i="1"/>
  <c r="I24" i="1" s="1"/>
  <c r="P24" i="1"/>
  <c r="G47" i="1"/>
  <c r="K47" i="1" s="1"/>
  <c r="P47" i="1"/>
  <c r="G21" i="1"/>
  <c r="I21" i="1" s="1"/>
  <c r="S27" i="1"/>
  <c r="S49" i="1"/>
  <c r="S25" i="1"/>
  <c r="S30" i="1"/>
  <c r="S26" i="1"/>
  <c r="S44" i="1"/>
  <c r="S43" i="1"/>
  <c r="S22" i="1"/>
  <c r="S53" i="1"/>
  <c r="S21" i="1" l="1"/>
  <c r="S37" i="1"/>
  <c r="P36" i="1"/>
  <c r="G36" i="1"/>
  <c r="S47" i="1"/>
  <c r="P42" i="1"/>
  <c r="G42" i="1"/>
  <c r="K46" i="1"/>
  <c r="S46" i="1"/>
  <c r="S24" i="1"/>
  <c r="S38" i="1"/>
  <c r="P34" i="1"/>
  <c r="G34" i="1"/>
  <c r="J34" i="1" s="1"/>
  <c r="D15" i="1"/>
  <c r="C19" i="1" s="1"/>
  <c r="C12" i="1"/>
  <c r="C11" i="1"/>
  <c r="O48" i="1" l="1"/>
  <c r="O47" i="1"/>
  <c r="O38" i="1"/>
  <c r="O43" i="1"/>
  <c r="O46" i="1"/>
  <c r="O36" i="1"/>
  <c r="O33" i="1"/>
  <c r="O39" i="1"/>
  <c r="O41" i="1"/>
  <c r="O45" i="1"/>
  <c r="O52" i="1"/>
  <c r="O32" i="1"/>
  <c r="O31" i="1"/>
  <c r="O37" i="1"/>
  <c r="O54" i="1"/>
  <c r="O51" i="1"/>
  <c r="O50" i="1"/>
  <c r="O42" i="1"/>
  <c r="O53" i="1"/>
  <c r="O34" i="1"/>
  <c r="O35" i="1"/>
  <c r="C15" i="1"/>
  <c r="O49" i="1"/>
  <c r="O40" i="1"/>
  <c r="O44" i="1"/>
  <c r="C16" i="1"/>
  <c r="D18" i="1" s="1"/>
  <c r="S42" i="1"/>
  <c r="J42" i="1"/>
  <c r="S34" i="1"/>
  <c r="E14" i="1" s="1"/>
  <c r="N36" i="1"/>
  <c r="K36" i="1"/>
  <c r="S36" i="1"/>
  <c r="C18" i="1" l="1"/>
  <c r="F18" i="1"/>
  <c r="F19" i="1" s="1"/>
</calcChain>
</file>

<file path=xl/sharedStrings.xml><?xml version="1.0" encoding="utf-8"?>
<sst xmlns="http://schemas.openxmlformats.org/spreadsheetml/2006/main" count="209" uniqueCount="123">
  <si>
    <t>IBVS 6244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</si>
  <si>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</si>
  <si>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</si>
  <si>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</si>
  <si>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</si>
  <si>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</si>
  <si>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</si>
  <si>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</si>
  <si>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</si>
  <si>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</si>
  <si>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</si>
  <si>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</si>
  <si>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</si>
  <si>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</si>
  <si>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</si>
  <si>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</si>
  <si>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</si>
  <si>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</si>
  <si>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</si>
  <si>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</si>
  <si>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</si>
  <si>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</si>
  <si>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</si>
  <si>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</si>
  <si>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</si>
  <si>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</si>
  <si>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</si>
  <si>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</si>
  <si>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</si>
  <si>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</si>
  <si>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</si>
  <si>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</si>
  <si>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</si>
  <si>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</si>
  <si>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5557 Eph.</t>
  </si>
  <si>
    <t>IBVS 5557</t>
  </si>
  <si>
    <t>UMi</t>
  </si>
  <si>
    <t>IBVS 5802</t>
  </si>
  <si>
    <t>IBVS 5731</t>
  </si>
  <si>
    <t>Locher 2005</t>
  </si>
  <si>
    <t>II</t>
  </si>
  <si>
    <t>I</t>
  </si>
  <si>
    <t>VY UMi / GSC 4568-0313 / NSV 08499</t>
  </si>
  <si>
    <t>Add cycle</t>
  </si>
  <si>
    <t>Old Cycle</t>
  </si>
  <si>
    <t>Quad. Ephemeris =</t>
  </si>
  <si>
    <t>Lin. Ephemeris =</t>
  </si>
  <si>
    <t>IBVS 5959</t>
  </si>
  <si>
    <t>IBVS 6010</t>
  </si>
  <si>
    <t>IBVS 6018</t>
  </si>
  <si>
    <t>JAVSO..39..177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</si>
  <si>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</si>
  <si>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</si>
  <si>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</si>
  <si>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</si>
  <si>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</si>
  <si>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</si>
  <si>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</si>
  <si>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</si>
  <si>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</si>
  <si>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</si>
  <si>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</si>
  <si>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</si>
  <si>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2453863.4756 </t>
  </si>
  <si>
    <t> 07.05.2006 23:24 </t>
  </si>
  <si>
    <t> 0.0056 </t>
  </si>
  <si>
    <t>C </t>
  </si>
  <si>
    <t>-I</t>
  </si>
  <si>
    <t> K. &amp; M.Rätz </t>
  </si>
  <si>
    <t>BAVM 186 </t>
  </si>
  <si>
    <t>2454921.5234 </t>
  </si>
  <si>
    <t> 31.03.2009 00:33 </t>
  </si>
  <si>
    <t>11206.5</t>
  </si>
  <si>
    <t> 0.0153 </t>
  </si>
  <si>
    <t>BAVM 214 </t>
  </si>
  <si>
    <t>2455309.5649 </t>
  </si>
  <si>
    <t> 23.04.2010 01:33 </t>
  </si>
  <si>
    <t>12399</t>
  </si>
  <si>
    <t> 0.0173 </t>
  </si>
  <si>
    <t>BAVM 220 </t>
  </si>
  <si>
    <t>2455639.5253 </t>
  </si>
  <si>
    <t> 19.03.2011 00:36 </t>
  </si>
  <si>
    <t>13413</t>
  </si>
  <si>
    <t> 0.0221 </t>
  </si>
  <si>
    <t> C.Rivero </t>
  </si>
  <si>
    <t> JAAVSO 39;177 </t>
  </si>
  <si>
    <t>2455682.8051 </t>
  </si>
  <si>
    <t> 01.05.2011 07:19 </t>
  </si>
  <si>
    <t>13546</t>
  </si>
  <si>
    <t> 0.0237 </t>
  </si>
  <si>
    <t>R</t>
  </si>
  <si>
    <t> R.Nelson </t>
  </si>
  <si>
    <t>IBVS 6018 </t>
  </si>
  <si>
    <t>2456390.5549 </t>
  </si>
  <si>
    <t> 08.04.2013 01:19 </t>
  </si>
  <si>
    <t>15721</t>
  </si>
  <si>
    <t> 0.0285 </t>
  </si>
  <si>
    <t> M.&amp; K.Rätz </t>
  </si>
  <si>
    <t>BAVM 234 </t>
  </si>
  <si>
    <t>2456712.5388 </t>
  </si>
  <si>
    <t> 24.02.2014 00:55 </t>
  </si>
  <si>
    <t>16710.5</t>
  </si>
  <si>
    <t> 0.0291 </t>
  </si>
  <si>
    <t>BAVM 241 (=IBVS 6157) </t>
  </si>
  <si>
    <t>2456712.7014 </t>
  </si>
  <si>
    <t> 24.02.2014 04:50 </t>
  </si>
  <si>
    <t>16711</t>
  </si>
  <si>
    <t> 0.0290 </t>
  </si>
  <si>
    <t>2456772.4138 </t>
  </si>
  <si>
    <t> 24.04.2014 21:55 </t>
  </si>
  <si>
    <t>16894.5</t>
  </si>
  <si>
    <t> 0.0305 </t>
  </si>
  <si>
    <t>2456772.5763 </t>
  </si>
  <si>
    <t> 25.04.2014 01:49 </t>
  </si>
  <si>
    <t>16895</t>
  </si>
  <si>
    <t> 0.0303 </t>
  </si>
  <si>
    <t>IBVS 6157</t>
  </si>
  <si>
    <t>IBVS 6196</t>
  </si>
  <si>
    <t>OEJV 0179</t>
  </si>
  <si>
    <t>RHN 2020</t>
  </si>
  <si>
    <t>IBVS 6262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</si>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</sst>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7" fillId="24" borderId="20" xfId="38" applyFill="1" applyBorder="1" applyAlignment="1" applyProtection="1">
      <alignment horizontal="right" vertical="top" wrapText="1"/>
    </xf>
    <xf numFmtId="0" fontId="7" fillId="0" borderId="9" xfId="0" applyFont="1" applyBorder="1">
      <alignment vertical="top"/>
    </xf>
    <xf numFmtId="0" fontId="7" fillId="0" borderId="10" xfId="0" applyFont="1" applyBorder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0" applyFont="1" applyAlignment="1"/>
    <xf numFmtId="0" fontId="5" fillId="0" borderId="0" xfId="0" applyFont="1" applyAlignment="1"/>
    <xf numFmtId="0" fontId="34" fillId="0" borderId="0" xfId="0" applyFont="1" applyAlignment="1">
      <alignment horizontal="left"/>
    </xf>
    <xf numFmtId="0" fontId="33" fillId="0" borderId="0" xfId="44" applyFont="1" applyAlignment="1">
      <alignment horizontal="left"/>
    </xf>
    <xf numFmtId="0" fontId="33" fillId="0" borderId="0" xfId="44" applyFont="1" applyAlignment="1">
      <alignment horizontal="center" wrapText="1"/>
    </xf>
    <xf numFmtId="0" fontId="33" fillId="0" borderId="0" xfId="44" applyFont="1" applyAlignment="1">
      <alignment horizontal="left" wrapText="1"/>
    </xf>
    <xf numFmtId="0" fontId="6" fillId="0" borderId="21" xfId="0" applyFont="1" applyBorder="1" applyAlignment="1"/>
    <xf numFmtId="0" fontId="6" fillId="0" borderId="22" xfId="0" applyFont="1" applyBorder="1" applyAlignment="1"/>
    <xf numFmtId="0" fontId="34" fillId="0" borderId="0" xfId="44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4568-0313 - O-C Diagr.</a:t>
            </a:r>
          </a:p>
        </c:rich>
      </c:tx>
      <c:layout>
        <c:manualLayout>
          <c:xMode val="edge"/>
          <c:yMode val="edge"/>
          <c:x val="0.3403617620086645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24314365112"/>
          <c:y val="0.14202938753789499"/>
          <c:w val="0.81927771090051926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B-4A2F-9497-811FF59E0C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1">
                  <c:v>1.0900000001129229E-2</c:v>
                </c:pt>
                <c:pt idx="2">
                  <c:v>1.6000000032363459E-3</c:v>
                </c:pt>
                <c:pt idx="3">
                  <c:v>4.7999999951571226E-3</c:v>
                </c:pt>
                <c:pt idx="4">
                  <c:v>3.1000000017229468E-3</c:v>
                </c:pt>
                <c:pt idx="5">
                  <c:v>5.7999999989988282E-3</c:v>
                </c:pt>
                <c:pt idx="6">
                  <c:v>4.6999999976833351E-3</c:v>
                </c:pt>
                <c:pt idx="7">
                  <c:v>7.9999999943538569E-3</c:v>
                </c:pt>
                <c:pt idx="8">
                  <c:v>4.0999999982886948E-3</c:v>
                </c:pt>
                <c:pt idx="9">
                  <c:v>2.9999999969732016E-3</c:v>
                </c:pt>
                <c:pt idx="11">
                  <c:v>2.3999999975785613E-3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B-4A2F-9497-811FF59E0C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0">
                  <c:v>2.3000000001047738E-3</c:v>
                </c:pt>
                <c:pt idx="12">
                  <c:v>5.5999999967752956E-3</c:v>
                </c:pt>
                <c:pt idx="13">
                  <c:v>1.5299999999115244E-2</c:v>
                </c:pt>
                <c:pt idx="14">
                  <c:v>1.7299999999522697E-2</c:v>
                </c:pt>
                <c:pt idx="17">
                  <c:v>2.8500000000349246E-2</c:v>
                </c:pt>
                <c:pt idx="18">
                  <c:v>2.9099999999743886E-2</c:v>
                </c:pt>
                <c:pt idx="19">
                  <c:v>2.8999999994994141E-2</c:v>
                </c:pt>
                <c:pt idx="20">
                  <c:v>3.05000000007567E-2</c:v>
                </c:pt>
                <c:pt idx="21">
                  <c:v>3.0299999998533167E-2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B-4A2F-9497-811FF59E0C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5">
                  <c:v>2.2100000001955777E-2</c:v>
                </c:pt>
                <c:pt idx="16">
                  <c:v>2.3747796258248854E-2</c:v>
                </c:pt>
                <c:pt idx="22">
                  <c:v>3.2499999993888196E-2</c:v>
                </c:pt>
                <c:pt idx="23">
                  <c:v>3.2770000005257316E-2</c:v>
                </c:pt>
                <c:pt idx="24">
                  <c:v>3.3300000002782326E-2</c:v>
                </c:pt>
                <c:pt idx="25">
                  <c:v>3.6900000006426126E-2</c:v>
                </c:pt>
                <c:pt idx="26">
                  <c:v>3.650000000197906E-2</c:v>
                </c:pt>
                <c:pt idx="27">
                  <c:v>4.3700000001990702E-2</c:v>
                </c:pt>
                <c:pt idx="28">
                  <c:v>4.3899999996938277E-2</c:v>
                </c:pt>
                <c:pt idx="29">
                  <c:v>4.8499999997147825E-2</c:v>
                </c:pt>
                <c:pt idx="30">
                  <c:v>5.6099999994330574E-2</c:v>
                </c:pt>
                <c:pt idx="31">
                  <c:v>5.9900000000197906E-2</c:v>
                </c:pt>
                <c:pt idx="32">
                  <c:v>6.2399999995250255E-2</c:v>
                </c:pt>
                <c:pt idx="33">
                  <c:v>6.7199999997683335E-2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B-4A2F-9497-811FF59E0C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B-4A2F-9497-811FF59E0C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B-4A2F-9497-811FF59E0C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5">
                  <c:v>2.2100000001955777E-2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B-4A2F-9497-811FF59E0C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0">
                  <c:v>-1.3121808087936612E-2</c:v>
                </c:pt>
                <c:pt idx="11">
                  <c:v>-1.3094735452418092E-2</c:v>
                </c:pt>
                <c:pt idx="12">
                  <c:v>-7.9884198915404075E-3</c:v>
                </c:pt>
                <c:pt idx="13">
                  <c:v>5.554145398992863E-3</c:v>
                </c:pt>
                <c:pt idx="14">
                  <c:v>1.0520932761428944E-2</c:v>
                </c:pt>
                <c:pt idx="15">
                  <c:v>1.4744263902317992E-2</c:v>
                </c:pt>
                <c:pt idx="16">
                  <c:v>1.5298211675235394E-2</c:v>
                </c:pt>
                <c:pt idx="17">
                  <c:v>2.4357132021816934E-2</c:v>
                </c:pt>
                <c:pt idx="18">
                  <c:v>2.8478420151905402E-2</c:v>
                </c:pt>
                <c:pt idx="19">
                  <c:v>2.8480502662329897E-2</c:v>
                </c:pt>
                <c:pt idx="20">
                  <c:v>2.9244783988121949E-2</c:v>
                </c:pt>
                <c:pt idx="21">
                  <c:v>2.9246866498546457E-2</c:v>
                </c:pt>
                <c:pt idx="22">
                  <c:v>3.3176563669580793E-2</c:v>
                </c:pt>
                <c:pt idx="23">
                  <c:v>3.3455620066463986E-2</c:v>
                </c:pt>
                <c:pt idx="24">
                  <c:v>3.3699273786130669E-2</c:v>
                </c:pt>
                <c:pt idx="25">
                  <c:v>3.8422407428900081E-2</c:v>
                </c:pt>
                <c:pt idx="26">
                  <c:v>3.8424489939324576E-2</c:v>
                </c:pt>
                <c:pt idx="27">
                  <c:v>4.2966445175162356E-2</c:v>
                </c:pt>
                <c:pt idx="28">
                  <c:v>4.2968527685586851E-2</c:v>
                </c:pt>
                <c:pt idx="29">
                  <c:v>4.7375119743832038E-2</c:v>
                </c:pt>
                <c:pt idx="30">
                  <c:v>5.6858872217011878E-2</c:v>
                </c:pt>
                <c:pt idx="31">
                  <c:v>6.1665306276761346E-2</c:v>
                </c:pt>
                <c:pt idx="32">
                  <c:v>6.1667388787185841E-2</c:v>
                </c:pt>
                <c:pt idx="33">
                  <c:v>6.5817832063217341E-2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B-4A2F-9497-811FF59E0CFF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Active!$U$2:$U$24</c:f>
              <c:numCache>
                <c:formatCode>General</c:formatCode>
                <c:ptCount val="2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Active!$V$2:$V$24</c:f>
              <c:numCache>
                <c:formatCode>General</c:formatCode>
                <c:ptCount val="23"/>
                <c:pt idx="0">
                  <c:v>1.0033492622237919E-5</c:v>
                </c:pt>
                <c:pt idx="1">
                  <c:v>1.434704315530513E-4</c:v>
                </c:pt>
                <c:pt idx="2">
                  <c:v>5.0099846260009137E-4</c:v>
                </c:pt>
                <c:pt idx="3">
                  <c:v>1.0826175857633581E-3</c:v>
                </c:pt>
                <c:pt idx="4">
                  <c:v>1.8883278010428516E-3</c:v>
                </c:pt>
                <c:pt idx="5">
                  <c:v>2.9181291084385721E-3</c:v>
                </c:pt>
                <c:pt idx="6">
                  <c:v>4.1720215079505182E-3</c:v>
                </c:pt>
                <c:pt idx="7">
                  <c:v>5.6500049995786925E-3</c:v>
                </c:pt>
                <c:pt idx="8">
                  <c:v>7.3520795833230922E-3</c:v>
                </c:pt>
                <c:pt idx="9">
                  <c:v>9.2782452591837188E-3</c:v>
                </c:pt>
                <c:pt idx="10">
                  <c:v>1.1428502027160574E-2</c:v>
                </c:pt>
                <c:pt idx="11">
                  <c:v>1.3802849887253653E-2</c:v>
                </c:pt>
                <c:pt idx="12">
                  <c:v>1.6401288839462961E-2</c:v>
                </c:pt>
                <c:pt idx="13">
                  <c:v>1.9223818883788494E-2</c:v>
                </c:pt>
                <c:pt idx="14">
                  <c:v>2.2270440020230254E-2</c:v>
                </c:pt>
                <c:pt idx="15">
                  <c:v>2.5541152248788241E-2</c:v>
                </c:pt>
                <c:pt idx="16">
                  <c:v>2.9035955569462455E-2</c:v>
                </c:pt>
                <c:pt idx="17">
                  <c:v>3.2754849982252893E-2</c:v>
                </c:pt>
                <c:pt idx="18">
                  <c:v>3.6697835487159561E-2</c:v>
                </c:pt>
                <c:pt idx="19">
                  <c:v>4.0864912084182456E-2</c:v>
                </c:pt>
                <c:pt idx="20">
                  <c:v>4.5256079773321578E-2</c:v>
                </c:pt>
                <c:pt idx="21">
                  <c:v>4.9871338554576927E-2</c:v>
                </c:pt>
                <c:pt idx="22">
                  <c:v>5.4710688427948503E-2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B-4A2F-9497-811FF59E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608"/>
        <c:axId val="1"/>
      </c:scatterChart>
      <c:valAx>
        <c:axId val="102613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98795180722892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32545931758531"/>
          <c:y val="0.92464041994750656"/>
          <c:w val="0.71987999241058731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0EB6A8-38A9-0689-454C-DC868342D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18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7"/>
  <sheetViews>
    <sheetView tabSelected="1" workbookViewId="0">
      <pane xSplit="13" ySplit="21" topLeftCell="N40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8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1" thickBot="1" x14ac:dyDescent="0.35">
      <c r="A1" s="1" t="s">
        <v>42</v>
      </c>
      <c r="E1" s="26"/>
      <c r="F1" s="26"/>
      <c r="G1" s="27" t="s">
        <v>33</v>
      </c>
      <c r="H1" s="26" t="s">
        <v>34</v>
      </c>
      <c r="I1" s="27">
        <v>51274.913</v>
      </c>
      <c r="J1" s="27">
        <v>0.32540000000000002</v>
      </c>
      <c r="K1" s="27" t="s">
        <v>35</v>
      </c>
      <c r="L1" s="27" t="s">
        <v>36</v>
      </c>
      <c r="U1" s="3" t="s">
        <v>9</v>
      </c>
      <c r="V1" s="5" t="s">
        <v>20</v>
      </c>
    </row>
    <row r="2" spans="1:22" x14ac:dyDescent="0.2">
      <c r="A2" t="s">
        <v>22</v>
      </c>
      <c r="B2" t="s">
        <v>33</v>
      </c>
      <c r="C2" s="9"/>
      <c r="U2">
        <v>0</v>
      </c>
      <c r="V2">
        <f>+D$11+D$12*U2+D$13*U2^2</f>
        <v>1.0033492622237919E-5</v>
      </c>
    </row>
    <row r="3" spans="1:22" ht="13.5" thickBot="1" x14ac:dyDescent="0.25">
      <c r="U3">
        <v>1000</v>
      </c>
      <c r="V3">
        <f t="shared" ref="V3:V18" si="0">+D$11+D$12*U3+D$13*U3^2</f>
        <v>1.434704315530513E-4</v>
      </c>
    </row>
    <row r="4" spans="1:22" ht="14.25" thickTop="1" thickBot="1" x14ac:dyDescent="0.25">
      <c r="A4" s="25" t="s">
        <v>34</v>
      </c>
      <c r="C4" s="7">
        <v>51274.913</v>
      </c>
      <c r="D4" s="8">
        <v>0.32540000000000002</v>
      </c>
      <c r="U4">
        <v>2000</v>
      </c>
      <c r="V4">
        <f t="shared" si="0"/>
        <v>5.0099846260009137E-4</v>
      </c>
    </row>
    <row r="5" spans="1:22" ht="13.5" thickTop="1" x14ac:dyDescent="0.2">
      <c r="A5" s="10" t="s">
        <v>27</v>
      </c>
      <c r="B5" s="11"/>
      <c r="C5" s="12">
        <v>-9.5</v>
      </c>
      <c r="D5" s="11" t="s">
        <v>28</v>
      </c>
      <c r="U5">
        <v>3000</v>
      </c>
      <c r="V5">
        <f t="shared" si="0"/>
        <v>1.0826175857633581E-3</v>
      </c>
    </row>
    <row r="6" spans="1:22" x14ac:dyDescent="0.2">
      <c r="A6" s="4" t="s">
        <v>1</v>
      </c>
      <c r="U6">
        <v>4000</v>
      </c>
      <c r="V6">
        <f t="shared" si="0"/>
        <v>1.8883278010428516E-3</v>
      </c>
    </row>
    <row r="7" spans="1:22" x14ac:dyDescent="0.2">
      <c r="A7" t="s">
        <v>2</v>
      </c>
      <c r="C7">
        <f>+C4</f>
        <v>51274.913</v>
      </c>
      <c r="U7">
        <v>5000</v>
      </c>
      <c r="V7">
        <f t="shared" si="0"/>
        <v>2.9181291084385721E-3</v>
      </c>
    </row>
    <row r="8" spans="1:22" x14ac:dyDescent="0.2">
      <c r="A8" t="s">
        <v>3</v>
      </c>
      <c r="C8">
        <f>+D4</f>
        <v>0.32540000000000002</v>
      </c>
      <c r="U8">
        <v>6000</v>
      </c>
      <c r="V8">
        <f t="shared" si="0"/>
        <v>4.1720215079505182E-3</v>
      </c>
    </row>
    <row r="9" spans="1:22" x14ac:dyDescent="0.2">
      <c r="A9" s="23" t="s">
        <v>32</v>
      </c>
      <c r="B9" s="24">
        <v>40</v>
      </c>
      <c r="C9" s="21" t="str">
        <f>"F"&amp;B9</f>
        <v>F40</v>
      </c>
      <c r="D9" s="22" t="str">
        <f>"G"&amp;B9</f>
        <v>G40</v>
      </c>
      <c r="U9">
        <v>7000</v>
      </c>
      <c r="V9">
        <f t="shared" si="0"/>
        <v>5.6500049995786925E-3</v>
      </c>
    </row>
    <row r="10" spans="1:22" ht="13.5" thickBot="1" x14ac:dyDescent="0.25">
      <c r="A10" s="11"/>
      <c r="B10" s="11"/>
      <c r="C10" s="3" t="s">
        <v>18</v>
      </c>
      <c r="D10" s="3" t="s">
        <v>19</v>
      </c>
      <c r="E10" s="11"/>
      <c r="U10">
        <v>8000</v>
      </c>
      <c r="V10">
        <f t="shared" si="0"/>
        <v>7.3520795833230922E-3</v>
      </c>
    </row>
    <row r="11" spans="1:22" x14ac:dyDescent="0.2">
      <c r="A11" s="11" t="s">
        <v>14</v>
      </c>
      <c r="B11" s="11"/>
      <c r="C11" s="34">
        <f ca="1">INTERCEPT(INDIRECT(D9):G1003,INDIRECT(C9):$F1003)</f>
        <v>-4.1121160745359313E-2</v>
      </c>
      <c r="D11" s="13">
        <f>+E11*F11</f>
        <v>1.0033492622237919E-5</v>
      </c>
      <c r="E11" s="29">
        <v>1.0033492622237918</v>
      </c>
      <c r="F11">
        <v>1.0000000000000001E-5</v>
      </c>
      <c r="U11">
        <v>9000</v>
      </c>
      <c r="V11">
        <f t="shared" si="0"/>
        <v>9.2782452591837188E-3</v>
      </c>
    </row>
    <row r="12" spans="1:22" x14ac:dyDescent="0.2">
      <c r="A12" s="11" t="s">
        <v>15</v>
      </c>
      <c r="B12" s="11"/>
      <c r="C12" s="34">
        <f ca="1">SLOPE(INDIRECT(D9):G1003,INDIRECT(C9):$F1003)</f>
        <v>4.1650208490030049E-6</v>
      </c>
      <c r="D12" s="13">
        <f>+E12*F12</f>
        <v>2.1391392872700043E-8</v>
      </c>
      <c r="E12" s="30">
        <v>0.21391392872700044</v>
      </c>
      <c r="F12">
        <v>9.9999999999999995E-8</v>
      </c>
      <c r="U12">
        <v>10000</v>
      </c>
      <c r="V12">
        <f t="shared" si="0"/>
        <v>1.1428502027160574E-2</v>
      </c>
    </row>
    <row r="13" spans="1:22" ht="13.5" thickBot="1" x14ac:dyDescent="0.25">
      <c r="A13" s="11" t="s">
        <v>17</v>
      </c>
      <c r="B13" s="11"/>
      <c r="C13" s="13" t="s">
        <v>12</v>
      </c>
      <c r="D13" s="13">
        <f>+E13*F13</f>
        <v>1.1204554605811335E-10</v>
      </c>
      <c r="E13" s="31">
        <v>1.1204554605811334</v>
      </c>
      <c r="F13" s="28">
        <v>1E-10</v>
      </c>
      <c r="U13">
        <v>11000</v>
      </c>
      <c r="V13">
        <f t="shared" si="0"/>
        <v>1.3802849887253653E-2</v>
      </c>
    </row>
    <row r="14" spans="1:22" x14ac:dyDescent="0.2">
      <c r="A14" s="11"/>
      <c r="B14" s="11"/>
      <c r="C14" s="11"/>
      <c r="E14">
        <f>SUM(S21:S34)</f>
        <v>9.3354423814727874E-5</v>
      </c>
      <c r="U14">
        <v>12000</v>
      </c>
      <c r="V14">
        <f t="shared" si="0"/>
        <v>1.6401288839462961E-2</v>
      </c>
    </row>
    <row r="15" spans="1:22" x14ac:dyDescent="0.2">
      <c r="A15" s="14" t="s">
        <v>16</v>
      </c>
      <c r="B15" s="11"/>
      <c r="C15" s="15">
        <f ca="1">(C7+C11)+(C8+C12)*INT(MAX(F21:F3530))</f>
        <v>59629.623815749554</v>
      </c>
      <c r="D15" s="22">
        <f>+C7+INT(MAX(F21:F1585))*C8+D11+D12*INT(MAX(F21:F4020))+D13*INT(MAX(F21:F4047)^2)</f>
        <v>59629.632423188494</v>
      </c>
      <c r="E15" s="16" t="s">
        <v>43</v>
      </c>
      <c r="F15" s="12">
        <v>1</v>
      </c>
      <c r="U15">
        <v>13000</v>
      </c>
      <c r="V15">
        <f t="shared" si="0"/>
        <v>1.9223818883788494E-2</v>
      </c>
    </row>
    <row r="16" spans="1:22" x14ac:dyDescent="0.2">
      <c r="A16" s="18" t="s">
        <v>4</v>
      </c>
      <c r="B16" s="11"/>
      <c r="C16" s="19">
        <f ca="1">+C8+C12</f>
        <v>0.32540416502084901</v>
      </c>
      <c r="D16" s="22">
        <f>+C8+D12+2*D13*F87</f>
        <v>0.3254000213913929</v>
      </c>
      <c r="E16" s="16" t="s">
        <v>29</v>
      </c>
      <c r="F16" s="17">
        <f ca="1">NOW()+15018.5+$C$5/24</f>
        <v>59969.802444212961</v>
      </c>
      <c r="U16">
        <v>14000</v>
      </c>
      <c r="V16">
        <f t="shared" si="0"/>
        <v>2.2270440020230254E-2</v>
      </c>
    </row>
    <row r="17" spans="1:22" ht="13.5" thickBot="1" x14ac:dyDescent="0.25">
      <c r="A17" s="16" t="s">
        <v>26</v>
      </c>
      <c r="B17" s="11"/>
      <c r="C17" s="11">
        <f>COUNT(C21:C2188)</f>
        <v>34</v>
      </c>
      <c r="E17" s="16" t="s">
        <v>44</v>
      </c>
      <c r="F17" s="17">
        <f ca="1">ROUND(2*(F16-$C$7)/$C$8,0)/2+F15</f>
        <v>26721.5</v>
      </c>
      <c r="U17">
        <v>15000</v>
      </c>
      <c r="V17">
        <f t="shared" si="0"/>
        <v>2.5541152248788241E-2</v>
      </c>
    </row>
    <row r="18" spans="1:22" ht="14.25" thickTop="1" thickBot="1" x14ac:dyDescent="0.25">
      <c r="A18" s="18" t="s">
        <v>46</v>
      </c>
      <c r="B18" s="11"/>
      <c r="C18" s="50">
        <f ca="1">+C15</f>
        <v>59629.623815749554</v>
      </c>
      <c r="D18" s="51">
        <f ca="1">+C16</f>
        <v>0.32540416502084901</v>
      </c>
      <c r="E18" s="16" t="s">
        <v>30</v>
      </c>
      <c r="F18" s="22">
        <f ca="1">ROUND(2*(F16-$C$15)/$C$16,0)/2+F15</f>
        <v>1046.5</v>
      </c>
      <c r="U18">
        <v>16000</v>
      </c>
      <c r="V18">
        <f t="shared" si="0"/>
        <v>2.9035955569462455E-2</v>
      </c>
    </row>
    <row r="19" spans="1:22" ht="14.25" thickTop="1" thickBot="1" x14ac:dyDescent="0.25">
      <c r="A19" s="18" t="s">
        <v>45</v>
      </c>
      <c r="C19" s="67">
        <f>+D15</f>
        <v>59629.632423188494</v>
      </c>
      <c r="D19" s="68">
        <f>+D16</f>
        <v>0.3254000213913929</v>
      </c>
      <c r="E19" s="16" t="s">
        <v>31</v>
      </c>
      <c r="F19" s="20">
        <f ca="1">+$C$15+$C$16*F18-15018.5-$C$5/24</f>
        <v>44952.055107777211</v>
      </c>
      <c r="U19">
        <v>17000</v>
      </c>
      <c r="V19">
        <f t="shared" ref="V19:V24" si="1">+D$11+D$12*U19+D$13*U19^2</f>
        <v>3.2754849982252893E-2</v>
      </c>
    </row>
    <row r="20" spans="1:22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  <c r="U20">
        <v>18000</v>
      </c>
      <c r="V20">
        <f t="shared" si="1"/>
        <v>3.6697835487159561E-2</v>
      </c>
    </row>
    <row r="21" spans="1:22" x14ac:dyDescent="0.2">
      <c r="A21" t="str">
        <f>$K$1</f>
        <v>IBVS 5557</v>
      </c>
      <c r="C21" s="9">
        <f>+$C$4</f>
        <v>51274.913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P21">
        <f>+D$11+D$12*F21+D$13*F21^2</f>
        <v>1.0033492622237919E-5</v>
      </c>
      <c r="Q21" s="2">
        <f>+C21-15018.5</f>
        <v>36256.413</v>
      </c>
      <c r="S21">
        <f>+(P21-G21)^2</f>
        <v>1.0067097420050276E-10</v>
      </c>
      <c r="U21">
        <v>19000</v>
      </c>
      <c r="V21">
        <f t="shared" si="1"/>
        <v>4.0864912084182456E-2</v>
      </c>
    </row>
    <row r="22" spans="1:22" x14ac:dyDescent="0.2">
      <c r="A22" t="s">
        <v>39</v>
      </c>
      <c r="B22" s="13" t="s">
        <v>40</v>
      </c>
      <c r="C22" s="9">
        <v>53229.438999999998</v>
      </c>
      <c r="D22" s="9">
        <v>4.0000000000000001E-3</v>
      </c>
      <c r="E22">
        <f>+(C22-C$7)/C$8</f>
        <v>6006.533497234167</v>
      </c>
      <c r="F22">
        <f>ROUND(2*E22,0)/2</f>
        <v>6006.5</v>
      </c>
      <c r="G22">
        <f>+C22-(C$7+F22*C$8)</f>
        <v>1.0900000001129229E-2</v>
      </c>
      <c r="I22">
        <f>+G22</f>
        <v>1.0900000001129229E-2</v>
      </c>
      <c r="P22">
        <f>+D$11+D$12*F22+D$13*F22^2</f>
        <v>4.1809048385210452E-3</v>
      </c>
      <c r="Q22" s="2">
        <f>+C22-15018.5</f>
        <v>38210.938999999998</v>
      </c>
      <c r="S22">
        <f>+(P22-G22)^2</f>
        <v>4.5146239804184693E-5</v>
      </c>
      <c r="U22">
        <v>20000</v>
      </c>
      <c r="V22">
        <f t="shared" si="1"/>
        <v>4.5256079773321578E-2</v>
      </c>
    </row>
    <row r="23" spans="1:22" x14ac:dyDescent="0.2">
      <c r="A23" t="s">
        <v>39</v>
      </c>
      <c r="B23" s="13" t="s">
        <v>41</v>
      </c>
      <c r="C23" s="9">
        <v>53232.521000000001</v>
      </c>
      <c r="D23" s="9">
        <v>4.0000000000000001E-3</v>
      </c>
      <c r="E23">
        <f>+(C23-C$7)/C$8</f>
        <v>6016.0049170251996</v>
      </c>
      <c r="F23">
        <f>ROUND(2*E23,0)/2</f>
        <v>6016</v>
      </c>
      <c r="G23">
        <f>+C23-(C$7+F23*C$8)</f>
        <v>1.6000000032363459E-3</v>
      </c>
      <c r="I23">
        <f>+G23</f>
        <v>1.6000000032363459E-3</v>
      </c>
      <c r="P23">
        <f>+D$11+D$12*F23+D$13*F23^2</f>
        <v>4.1939051987394307E-3</v>
      </c>
      <c r="Q23" s="2">
        <f>+C23-15018.5</f>
        <v>38214.021000000001</v>
      </c>
      <c r="S23">
        <f>+(P23-G23)^2</f>
        <v>6.7283441632578959E-6</v>
      </c>
      <c r="U23">
        <v>21000</v>
      </c>
      <c r="V23">
        <f t="shared" si="1"/>
        <v>4.9871338554576927E-2</v>
      </c>
    </row>
    <row r="24" spans="1:22" x14ac:dyDescent="0.2">
      <c r="A24" t="s">
        <v>39</v>
      </c>
      <c r="B24" s="13" t="s">
        <v>41</v>
      </c>
      <c r="C24" s="9">
        <v>53236.428999999996</v>
      </c>
      <c r="D24" s="9">
        <v>2E-3</v>
      </c>
      <c r="E24">
        <f>+(C24-C$7)/C$8</f>
        <v>6028.0147510755869</v>
      </c>
      <c r="F24">
        <f>ROUND(2*E24,0)/2</f>
        <v>6028</v>
      </c>
      <c r="G24">
        <f>+C24-(C$7+F24*C$8)</f>
        <v>4.7999999951571226E-3</v>
      </c>
      <c r="I24">
        <f>+G24</f>
        <v>4.7999999951571226E-3</v>
      </c>
      <c r="P24">
        <f>+D$11+D$12*F24+D$13*F24^2</f>
        <v>4.2103556141345894E-3</v>
      </c>
      <c r="Q24" s="2">
        <f>+C24-15018.5</f>
        <v>38217.928999999996</v>
      </c>
      <c r="S24">
        <f>+(P24-G24)^2</f>
        <v>3.4768049607144638E-7</v>
      </c>
      <c r="U24">
        <v>22000</v>
      </c>
      <c r="V24">
        <f t="shared" si="1"/>
        <v>5.4710688427948503E-2</v>
      </c>
    </row>
    <row r="25" spans="1:22" x14ac:dyDescent="0.2">
      <c r="A25" t="s">
        <v>39</v>
      </c>
      <c r="B25" s="13" t="s">
        <v>40</v>
      </c>
      <c r="C25" s="9">
        <v>53249.606</v>
      </c>
      <c r="D25" s="9">
        <v>3.0000000000000001E-3</v>
      </c>
      <c r="E25">
        <f>+(C25-C$7)/C$8</f>
        <v>6068.5095267363222</v>
      </c>
      <c r="F25">
        <f>ROUND(2*E25,0)/2</f>
        <v>6068.5</v>
      </c>
      <c r="G25">
        <f>+C25-(C$7+F25*C$8)</f>
        <v>3.1000000017229468E-3</v>
      </c>
      <c r="I25">
        <f>+G25</f>
        <v>3.1000000017229468E-3</v>
      </c>
      <c r="P25">
        <f>+D$11+D$12*F25+D$13*F25^2</f>
        <v>4.2661140029355595E-3</v>
      </c>
      <c r="Q25" s="2">
        <f>+C25-15018.5</f>
        <v>38231.106</v>
      </c>
      <c r="S25">
        <f>+(P25-G25)^2</f>
        <v>1.3598218638240893E-6</v>
      </c>
    </row>
    <row r="26" spans="1:22" x14ac:dyDescent="0.2">
      <c r="A26" t="s">
        <v>39</v>
      </c>
      <c r="B26" s="13" t="s">
        <v>41</v>
      </c>
      <c r="C26" s="9">
        <v>53254.326999999997</v>
      </c>
      <c r="D26" s="9">
        <v>5.0000000000000001E-3</v>
      </c>
      <c r="E26">
        <f>+(C26-C$7)/C$8</f>
        <v>6083.0178242163392</v>
      </c>
      <c r="F26">
        <f>ROUND(2*E26,0)/2</f>
        <v>6083</v>
      </c>
      <c r="G26">
        <f>+C26-(C$7+F26*C$8)</f>
        <v>5.7999999989988282E-3</v>
      </c>
      <c r="I26">
        <f>+G26</f>
        <v>5.7999999989988282E-3</v>
      </c>
      <c r="P26">
        <f>+D$11+D$12*F26+D$13*F26^2</f>
        <v>4.2861662391996281E-3</v>
      </c>
      <c r="Q26" s="2">
        <f>+C26-15018.5</f>
        <v>38235.826999999997</v>
      </c>
      <c r="S26">
        <f>+(P26-G26)^2</f>
        <v>2.2916926523077826E-6</v>
      </c>
    </row>
    <row r="27" spans="1:22" x14ac:dyDescent="0.2">
      <c r="A27" t="s">
        <v>39</v>
      </c>
      <c r="B27" s="13" t="s">
        <v>40</v>
      </c>
      <c r="C27" s="9">
        <v>53261.322</v>
      </c>
      <c r="D27" s="9">
        <v>3.0000000000000001E-3</v>
      </c>
      <c r="E27">
        <f>+(C27-C$7)/C$8</f>
        <v>6104.5144437615227</v>
      </c>
      <c r="F27">
        <f>ROUND(2*E27,0)/2</f>
        <v>6104.5</v>
      </c>
      <c r="G27">
        <f>+C27-(C$7+F27*C$8)</f>
        <v>4.6999999976833351E-3</v>
      </c>
      <c r="I27">
        <f>+G27</f>
        <v>4.6999999976833351E-3</v>
      </c>
      <c r="P27">
        <f>+D$11+D$12*F27+D$13*F27^2</f>
        <v>4.3159855886369305E-3</v>
      </c>
      <c r="Q27" s="2">
        <f>+C27-15018.5</f>
        <v>38242.822</v>
      </c>
      <c r="S27">
        <f>+(P27-G27)^2</f>
        <v>1.4746706635525936E-7</v>
      </c>
    </row>
    <row r="28" spans="1:22" x14ac:dyDescent="0.2">
      <c r="A28" t="s">
        <v>39</v>
      </c>
      <c r="B28" s="13" t="s">
        <v>41</v>
      </c>
      <c r="C28" s="9">
        <v>53261.487999999998</v>
      </c>
      <c r="D28" s="9">
        <v>2E-3</v>
      </c>
      <c r="E28">
        <f>+(C28-C$7)/C$8</f>
        <v>6105.0245851259897</v>
      </c>
      <c r="F28">
        <f>ROUND(2*E28,0)/2</f>
        <v>6105</v>
      </c>
      <c r="G28">
        <f>+C28-(C$7+F28*C$8)</f>
        <v>7.9999999943538569E-3</v>
      </c>
      <c r="I28">
        <f>+G28</f>
        <v>7.9999999943538569E-3</v>
      </c>
      <c r="P28">
        <f>+D$11+D$12*F28+D$13*F28^2</f>
        <v>4.3166802943806655E-3</v>
      </c>
      <c r="Q28" s="2">
        <f>+C28-15018.5</f>
        <v>38242.987999999998</v>
      </c>
      <c r="S28">
        <f>+(P28-G28)^2</f>
        <v>1.3566844012210601E-5</v>
      </c>
    </row>
    <row r="29" spans="1:22" x14ac:dyDescent="0.2">
      <c r="A29" t="s">
        <v>39</v>
      </c>
      <c r="B29" s="13" t="s">
        <v>40</v>
      </c>
      <c r="C29" s="9">
        <v>53303.298000000003</v>
      </c>
      <c r="D29" s="9">
        <v>5.0000000000000001E-3</v>
      </c>
      <c r="E29">
        <f>+(C29-C$7)/C$8</f>
        <v>6233.51259987708</v>
      </c>
      <c r="F29">
        <f>ROUND(2*E29,0)/2</f>
        <v>6233.5</v>
      </c>
      <c r="G29">
        <f>+C29-(C$7+F29*C$8)</f>
        <v>4.0999999982886948E-3</v>
      </c>
      <c r="I29">
        <f>+G29</f>
        <v>4.0999999982886948E-3</v>
      </c>
      <c r="P29">
        <f>+D$11+D$12*F29+D$13*F29^2</f>
        <v>4.497076993514695E-3</v>
      </c>
      <c r="Q29" s="2">
        <f>+C29-15018.5</f>
        <v>38284.798000000003</v>
      </c>
      <c r="S29">
        <f>+(P29-G29)^2</f>
        <v>1.5767014013770902E-7</v>
      </c>
    </row>
    <row r="30" spans="1:22" x14ac:dyDescent="0.2">
      <c r="A30" t="s">
        <v>39</v>
      </c>
      <c r="B30" s="13" t="s">
        <v>41</v>
      </c>
      <c r="C30" s="9">
        <v>53378.627</v>
      </c>
      <c r="D30" s="9">
        <v>5.0000000000000001E-3</v>
      </c>
      <c r="E30">
        <f>+(C30-C$7)/C$8</f>
        <v>6465.0092194222489</v>
      </c>
      <c r="F30">
        <f>ROUND(2*E30,0)/2</f>
        <v>6465</v>
      </c>
      <c r="G30">
        <f>+C30-(C$7+F30*C$8)</f>
        <v>2.9999999969732016E-3</v>
      </c>
      <c r="I30">
        <f>+G30</f>
        <v>2.9999999969732016E-3</v>
      </c>
      <c r="P30">
        <f>+D$11+D$12*F30+D$13*F30^2</f>
        <v>4.8314097008370117E-3</v>
      </c>
      <c r="Q30" s="2">
        <f>+C30-15018.5</f>
        <v>38360.127</v>
      </c>
      <c r="S30">
        <f>+(P30-G30)^2</f>
        <v>3.3540615034065288E-6</v>
      </c>
    </row>
    <row r="31" spans="1:22" x14ac:dyDescent="0.2">
      <c r="A31" t="s">
        <v>38</v>
      </c>
      <c r="C31" s="9">
        <v>53462.416799999999</v>
      </c>
      <c r="D31" s="9">
        <v>4.0000000000000002E-4</v>
      </c>
      <c r="E31">
        <f>+(C31-C$7)/C$8</f>
        <v>6722.5070682237201</v>
      </c>
      <c r="F31">
        <f>ROUND(2*E31,0)/2</f>
        <v>6722.5</v>
      </c>
      <c r="G31">
        <f>+C31-(C$7+F31*C$8)</f>
        <v>2.3000000001047738E-3</v>
      </c>
      <c r="J31">
        <f>+G31</f>
        <v>2.3000000001047738E-3</v>
      </c>
      <c r="O31">
        <f ca="1">+C$11+C$12*$F31</f>
        <v>-1.3121808087936612E-2</v>
      </c>
      <c r="P31">
        <f>+D$11+D$12*F31+D$13*F31^2</f>
        <v>5.2174001489518852E-3</v>
      </c>
      <c r="Q31" s="2">
        <f>+C31-15018.5</f>
        <v>38443.916799999999</v>
      </c>
      <c r="S31">
        <f>+(P31-G31)^2</f>
        <v>8.5112236284931482E-6</v>
      </c>
    </row>
    <row r="32" spans="1:22" x14ac:dyDescent="0.2">
      <c r="A32" t="s">
        <v>39</v>
      </c>
      <c r="B32" s="13" t="s">
        <v>41</v>
      </c>
      <c r="C32" s="9">
        <v>53464.531999999999</v>
      </c>
      <c r="D32" s="9">
        <v>4.0000000000000001E-3</v>
      </c>
      <c r="E32">
        <f>+(C32-C$7)/C$8</f>
        <v>6729.0073755377953</v>
      </c>
      <c r="F32">
        <f>ROUND(2*E32,0)/2</f>
        <v>6729</v>
      </c>
      <c r="G32">
        <f>+C32-(C$7+F32*C$8)</f>
        <v>2.3999999975785613E-3</v>
      </c>
      <c r="I32">
        <f>+G32</f>
        <v>2.3999999975785613E-3</v>
      </c>
      <c r="O32">
        <f ca="1">+C$11+C$12*$F32</f>
        <v>-1.3094735452418092E-2</v>
      </c>
      <c r="P32">
        <f>+D$11+D$12*F32+D$13*F32^2</f>
        <v>5.2273358673137621E-3</v>
      </c>
      <c r="Q32" s="2">
        <f>+C32-15018.5</f>
        <v>38446.031999999999</v>
      </c>
      <c r="S32">
        <f>+(P32-G32)^2</f>
        <v>7.9938281202913039E-6</v>
      </c>
    </row>
    <row r="33" spans="1:19" x14ac:dyDescent="0.2">
      <c r="A33" t="s">
        <v>37</v>
      </c>
      <c r="C33" s="9">
        <v>53863.475599999998</v>
      </c>
      <c r="D33" s="9">
        <v>1E-4</v>
      </c>
      <c r="E33">
        <f>+(C33-C$7)/C$8</f>
        <v>7955.0172095881908</v>
      </c>
      <c r="F33">
        <f>ROUND(2*E33,0)/2</f>
        <v>7955</v>
      </c>
      <c r="G33">
        <f>+C33-(C$7+F33*C$8)</f>
        <v>5.5999999967752956E-3</v>
      </c>
      <c r="J33">
        <f>+G33</f>
        <v>5.5999999967752956E-3</v>
      </c>
      <c r="O33">
        <f ca="1">+C$11+C$12*$F33</f>
        <v>-7.9884198915404075E-3</v>
      </c>
      <c r="P33">
        <f>+D$11+D$12*F33+D$13*F33^2</f>
        <v>7.2706710697127471E-3</v>
      </c>
      <c r="Q33" s="2">
        <f>+C33-15018.5</f>
        <v>38844.975599999998</v>
      </c>
      <c r="S33">
        <f>+(P33-G33)^2</f>
        <v>2.7911418339499753E-6</v>
      </c>
    </row>
    <row r="34" spans="1:19" x14ac:dyDescent="0.2">
      <c r="A34" s="32" t="s">
        <v>47</v>
      </c>
      <c r="B34" s="33" t="s">
        <v>41</v>
      </c>
      <c r="C34" s="32">
        <v>54921.523399999998</v>
      </c>
      <c r="D34" s="32">
        <v>1E-4</v>
      </c>
      <c r="E34">
        <f>+(C34-C$7)/C$8</f>
        <v>11206.547019053465</v>
      </c>
      <c r="F34">
        <f>ROUND(2*E34,0)/2</f>
        <v>11206.5</v>
      </c>
      <c r="G34">
        <f>+C34-(C$7+F34*C$8)</f>
        <v>1.5299999999115244E-2</v>
      </c>
      <c r="J34">
        <f>+G34</f>
        <v>1.5299999999115244E-2</v>
      </c>
      <c r="O34">
        <f ca="1">+C$11+C$12*$F34</f>
        <v>5.554145398992863E-3</v>
      </c>
      <c r="P34">
        <f>+D$11+D$12*F34+D$13*F34^2</f>
        <v>1.4321067999810271E-2</v>
      </c>
      <c r="Q34" s="2">
        <f>+C34-15018.5</f>
        <v>39903.023399999998</v>
      </c>
      <c r="S34">
        <f>+(P34-G34)^2</f>
        <v>9.5830785926323097E-7</v>
      </c>
    </row>
    <row r="35" spans="1:19" x14ac:dyDescent="0.2">
      <c r="A35" s="32" t="s">
        <v>48</v>
      </c>
      <c r="B35" s="33" t="s">
        <v>41</v>
      </c>
      <c r="C35" s="32">
        <v>55309.564899999998</v>
      </c>
      <c r="D35" s="32">
        <v>1E-4</v>
      </c>
      <c r="E35">
        <f>+(C35-C$7)/C$8</f>
        <v>12399.053165334963</v>
      </c>
      <c r="F35">
        <f>ROUND(2*E35,0)/2</f>
        <v>12399</v>
      </c>
      <c r="G35">
        <f>+C35-(C$7+F35*C$8)</f>
        <v>1.7299999999522697E-2</v>
      </c>
      <c r="J35">
        <f>+G35</f>
        <v>1.7299999999522697E-2</v>
      </c>
      <c r="O35">
        <f ca="1">+C$11+C$12*$F35</f>
        <v>1.0520932761428944E-2</v>
      </c>
      <c r="P35">
        <f>+D$11+D$12*F35+D$13*F35^2</f>
        <v>1.7500609917249658E-2</v>
      </c>
      <c r="Q35" s="2">
        <f>+C35-15018.5</f>
        <v>40291.064899999998</v>
      </c>
      <c r="S35">
        <f>+(P35-G35)^2</f>
        <v>4.0244339090418178E-8</v>
      </c>
    </row>
    <row r="36" spans="1:19" x14ac:dyDescent="0.2">
      <c r="A36" s="35" t="s">
        <v>50</v>
      </c>
      <c r="B36" s="36" t="s">
        <v>40</v>
      </c>
      <c r="C36" s="35">
        <v>55639.525300000001</v>
      </c>
      <c r="D36" s="35">
        <v>1.8E-3</v>
      </c>
      <c r="E36">
        <f>+(C36-C$7)/C$8</f>
        <v>13413.067916410573</v>
      </c>
      <c r="F36">
        <f>ROUND(2*E36,0)/2</f>
        <v>13413</v>
      </c>
      <c r="G36">
        <f>+C36-(C$7+F36*C$8)</f>
        <v>2.2100000001955777E-2</v>
      </c>
      <c r="K36">
        <f>+G36</f>
        <v>2.2100000001955777E-2</v>
      </c>
      <c r="N36">
        <f>+G36</f>
        <v>2.2100000001955777E-2</v>
      </c>
      <c r="O36">
        <f ca="1">+C$11+C$12*$F36</f>
        <v>1.4744263902317992E-2</v>
      </c>
      <c r="P36">
        <f>+D$11+D$12*F36+D$13*F36^2</f>
        <v>2.0454910099362525E-2</v>
      </c>
      <c r="Q36" s="2">
        <f>+C36-15018.5</f>
        <v>40621.025300000001</v>
      </c>
      <c r="S36">
        <f>+(P36-G36)^2</f>
        <v>2.7063207876142771E-6</v>
      </c>
    </row>
    <row r="37" spans="1:19" x14ac:dyDescent="0.2">
      <c r="A37" s="4" t="s">
        <v>49</v>
      </c>
      <c r="C37" s="9">
        <v>55682.805147796258</v>
      </c>
      <c r="D37" s="9">
        <v>2.0000000000000001E-4</v>
      </c>
      <c r="E37">
        <f>+(C37-C$7)/C$8</f>
        <v>13546.072980320398</v>
      </c>
      <c r="F37">
        <f>ROUND(2*E37,0)/2</f>
        <v>13546</v>
      </c>
      <c r="G37">
        <f>+C37-(C$7+F37*C$8)</f>
        <v>2.3747796258248854E-2</v>
      </c>
      <c r="K37">
        <f>+G37</f>
        <v>2.3747796258248854E-2</v>
      </c>
      <c r="O37">
        <f ca="1">+C$11+C$12*$F37</f>
        <v>1.5298211675235394E-2</v>
      </c>
      <c r="P37">
        <f>+D$11+D$12*F37+D$13*F37^2</f>
        <v>2.0859499726146626E-2</v>
      </c>
      <c r="Q37" s="2">
        <f>+C37-15018.5</f>
        <v>40664.305147796258</v>
      </c>
      <c r="S37">
        <f>+(P37-G37)^2</f>
        <v>8.3422568573537619E-6</v>
      </c>
    </row>
    <row r="38" spans="1:19" x14ac:dyDescent="0.2">
      <c r="A38" s="52" t="s">
        <v>51</v>
      </c>
      <c r="B38" s="53" t="s">
        <v>41</v>
      </c>
      <c r="C38" s="35">
        <v>56390.554900000003</v>
      </c>
      <c r="D38" s="54">
        <v>1E-4</v>
      </c>
      <c r="E38">
        <f>+(C38-C$7)/C$8</f>
        <v>15721.087584511377</v>
      </c>
      <c r="F38">
        <f>ROUND(2*E38,0)/2</f>
        <v>15721</v>
      </c>
      <c r="G38">
        <f>+C38-(C$7+F38*C$8)</f>
        <v>2.8500000000349246E-2</v>
      </c>
      <c r="J38">
        <f>+G38</f>
        <v>2.8500000000349246E-2</v>
      </c>
      <c r="O38">
        <f ca="1">+C$11+C$12*$F38</f>
        <v>2.4357132021816934E-2</v>
      </c>
      <c r="P38">
        <f>+D$11+D$12*F38+D$13*F38^2</f>
        <v>2.8038366472994843E-2</v>
      </c>
      <c r="Q38" s="2">
        <f>+C38-15018.5</f>
        <v>41372.054900000003</v>
      </c>
      <c r="S38">
        <f>+(P38-G38)^2</f>
        <v>2.1310551357766806E-7</v>
      </c>
    </row>
    <row r="39" spans="1:19" x14ac:dyDescent="0.2">
      <c r="A39" s="35" t="s">
        <v>116</v>
      </c>
      <c r="B39" s="36"/>
      <c r="C39" s="35">
        <v>56712.538800000002</v>
      </c>
      <c r="D39" s="35">
        <v>1E-4</v>
      </c>
      <c r="E39">
        <f>+(C39-C$7)/C$8</f>
        <v>16710.589428395826</v>
      </c>
      <c r="F39">
        <f>ROUND(2*E39,0)/2</f>
        <v>16710.5</v>
      </c>
      <c r="G39">
        <f>+C39-(C$7+F39*C$8)</f>
        <v>2.9099999999743886E-2</v>
      </c>
      <c r="J39">
        <f>+G39</f>
        <v>2.9099999999743886E-2</v>
      </c>
      <c r="O39">
        <f ca="1">+C$11+C$12*$F39</f>
        <v>2.8478420151905402E-2</v>
      </c>
      <c r="P39">
        <f>+D$11+D$12*F39+D$13*F39^2</f>
        <v>3.1655183429392754E-2</v>
      </c>
      <c r="Q39" s="2">
        <f>+C39-15018.5</f>
        <v>41694.038800000002</v>
      </c>
      <c r="S39">
        <f>+(P39-G39)^2</f>
        <v>6.52896235915215E-6</v>
      </c>
    </row>
    <row r="40" spans="1:19" x14ac:dyDescent="0.2">
      <c r="A40" s="35" t="s">
        <v>116</v>
      </c>
      <c r="B40" s="36"/>
      <c r="C40" s="35">
        <v>56712.701399999998</v>
      </c>
      <c r="D40" s="35">
        <v>1E-4</v>
      </c>
      <c r="E40">
        <f>+(C40-C$7)/C$8</f>
        <v>16711.089121081735</v>
      </c>
      <c r="F40">
        <f>ROUND(2*E40,0)/2</f>
        <v>16711</v>
      </c>
      <c r="G40">
        <f>+C40-(C$7+F40*C$8)</f>
        <v>2.8999999994994141E-2</v>
      </c>
      <c r="J40">
        <f>+G40</f>
        <v>2.8999999994994141E-2</v>
      </c>
      <c r="O40">
        <f ca="1">+C$11+C$12*$F40</f>
        <v>2.8480502662329897E-2</v>
      </c>
      <c r="P40">
        <f>+D$11+D$12*F40+D$13*F40^2</f>
        <v>3.1657066490197984E-2</v>
      </c>
      <c r="Q40" s="2">
        <f>+C40-15018.5</f>
        <v>41694.201399999998</v>
      </c>
      <c r="S40">
        <f>+(P40-G40)^2</f>
        <v>7.0600023599348329E-6</v>
      </c>
    </row>
    <row r="41" spans="1:19" x14ac:dyDescent="0.2">
      <c r="A41" s="35" t="s">
        <v>116</v>
      </c>
      <c r="B41" s="36"/>
      <c r="C41" s="35">
        <v>56772.413800000002</v>
      </c>
      <c r="D41" s="35">
        <v>1E-4</v>
      </c>
      <c r="E41">
        <f>+(C41-C$7)/C$8</f>
        <v>16894.593730792873</v>
      </c>
      <c r="F41">
        <f>ROUND(2*E41,0)/2</f>
        <v>16894.5</v>
      </c>
      <c r="G41">
        <f>+C41-(C$7+F41*C$8)</f>
        <v>3.05000000007567E-2</v>
      </c>
      <c r="J41">
        <f>+G41</f>
        <v>3.05000000007567E-2</v>
      </c>
      <c r="O41">
        <f ca="1">+C$11+C$12*$F41</f>
        <v>2.9244783988121949E-2</v>
      </c>
      <c r="P41">
        <f>+D$11+D$12*F41+D$13*F41^2</f>
        <v>3.2351932911533383E-2</v>
      </c>
      <c r="Q41" s="2">
        <f>+C41-15018.5</f>
        <v>41753.913800000002</v>
      </c>
      <c r="S41">
        <f>+(P41-G41)^2</f>
        <v>3.429655506017801E-6</v>
      </c>
    </row>
    <row r="42" spans="1:19" x14ac:dyDescent="0.2">
      <c r="A42" s="35" t="s">
        <v>116</v>
      </c>
      <c r="B42" s="36"/>
      <c r="C42" s="35">
        <v>56772.576300000001</v>
      </c>
      <c r="D42" s="35">
        <v>1E-4</v>
      </c>
      <c r="E42">
        <f>+(C42-C$7)/C$8</f>
        <v>16895.09311616472</v>
      </c>
      <c r="F42">
        <f>ROUND(2*E42,0)/2</f>
        <v>16895</v>
      </c>
      <c r="G42">
        <f>+C42-(C$7+F42*C$8)</f>
        <v>3.0299999998533167E-2</v>
      </c>
      <c r="J42">
        <f>+G42</f>
        <v>3.0299999998533167E-2</v>
      </c>
      <c r="O42">
        <f ca="1">+C$11+C$12*$F42</f>
        <v>2.9246866498546457E-2</v>
      </c>
      <c r="P42">
        <f>+D$11+D$12*F42+D$13*F42^2</f>
        <v>3.2353836588719091E-2</v>
      </c>
      <c r="Q42" s="2">
        <f>+C42-15018.5</f>
        <v>41754.076300000001</v>
      </c>
      <c r="S42">
        <f>+(P42-G42)^2</f>
        <v>4.2182447391865441E-6</v>
      </c>
    </row>
    <row r="43" spans="1:19" x14ac:dyDescent="0.2">
      <c r="A43" s="55" t="s">
        <v>117</v>
      </c>
      <c r="B43" s="56" t="s">
        <v>40</v>
      </c>
      <c r="C43" s="57">
        <v>57079.593399999998</v>
      </c>
      <c r="D43" s="57">
        <v>2.0000000000000001E-4</v>
      </c>
      <c r="E43">
        <f>+(C43-C$7)/C$8</f>
        <v>17838.599877074361</v>
      </c>
      <c r="F43">
        <f>ROUND(2*E43,0)/2</f>
        <v>17838.5</v>
      </c>
      <c r="G43">
        <f>+C43-(C$7+F43*C$8)</f>
        <v>3.2499999993888196E-2</v>
      </c>
      <c r="K43">
        <f>+G43</f>
        <v>3.2499999993888196E-2</v>
      </c>
      <c r="O43">
        <f ca="1">+C$11+C$12*$F43</f>
        <v>3.3176563669580793E-2</v>
      </c>
      <c r="P43">
        <f>+D$11+D$12*F43+D$13*F43^2</f>
        <v>3.6045870372372425E-2</v>
      </c>
      <c r="Q43" s="2">
        <f>+C43-15018.5</f>
        <v>42061.093399999998</v>
      </c>
      <c r="S43">
        <f>+(P43-G43)^2</f>
        <v>1.2573196741011894E-5</v>
      </c>
    </row>
    <row r="44" spans="1:19" x14ac:dyDescent="0.2">
      <c r="A44" s="58" t="s">
        <v>118</v>
      </c>
      <c r="B44" s="59" t="s">
        <v>40</v>
      </c>
      <c r="C44" s="60">
        <v>57101.395470000003</v>
      </c>
      <c r="D44" s="60">
        <v>1E-4</v>
      </c>
      <c r="E44">
        <f>+(C44-C$7)/C$8</f>
        <v>17905.600706822381</v>
      </c>
      <c r="F44">
        <f>ROUND(2*E44,0)/2</f>
        <v>17905.5</v>
      </c>
      <c r="G44">
        <f>+C44-(C$7+F44*C$8)</f>
        <v>3.2770000005257316E-2</v>
      </c>
      <c r="K44">
        <f>+G44</f>
        <v>3.2770000005257316E-2</v>
      </c>
      <c r="O44">
        <f ca="1">+C$11+C$12*$F44</f>
        <v>3.3455620066463986E-2</v>
      </c>
      <c r="P44">
        <f>+D$11+D$12*F44+D$13*F44^2</f>
        <v>3.6315635647581071E-2</v>
      </c>
      <c r="Q44" s="2">
        <f>+C44-15018.5</f>
        <v>42082.895470000003</v>
      </c>
      <c r="S44">
        <f>+(P44-G44)^2</f>
        <v>1.2571532108116587E-5</v>
      </c>
    </row>
    <row r="45" spans="1:19" x14ac:dyDescent="0.2">
      <c r="A45" s="55" t="s">
        <v>117</v>
      </c>
      <c r="B45" s="56" t="s">
        <v>41</v>
      </c>
      <c r="C45" s="57">
        <v>57120.431900000003</v>
      </c>
      <c r="D45" s="57">
        <v>5.0000000000000001E-4</v>
      </c>
      <c r="E45">
        <f>+(C45-C$7)/C$8</f>
        <v>17964.102335586977</v>
      </c>
      <c r="F45">
        <f>ROUND(2*E45,0)/2</f>
        <v>17964</v>
      </c>
      <c r="G45">
        <f>+C45-(C$7+F45*C$8)</f>
        <v>3.3300000002782326E-2</v>
      </c>
      <c r="K45">
        <f>+G45</f>
        <v>3.3300000002782326E-2</v>
      </c>
      <c r="O45">
        <f ca="1">+C$11+C$12*$F45</f>
        <v>3.3699273786130669E-2</v>
      </c>
      <c r="P45">
        <f>+D$11+D$12*F45+D$13*F45^2</f>
        <v>3.6551999580352525E-2</v>
      </c>
      <c r="Q45" s="2">
        <f>+C45-15018.5</f>
        <v>42101.931900000003</v>
      </c>
      <c r="S45">
        <f>+(P45-G45)^2</f>
        <v>1.0575501252516749E-5</v>
      </c>
    </row>
    <row r="46" spans="1:19" x14ac:dyDescent="0.2">
      <c r="A46" s="64" t="s">
        <v>0</v>
      </c>
      <c r="B46" s="65" t="s">
        <v>41</v>
      </c>
      <c r="C46" s="66">
        <v>57489.439100000003</v>
      </c>
      <c r="D46" s="66">
        <v>1E-4</v>
      </c>
      <c r="E46">
        <f>+(C46-C$7)/C$8</f>
        <v>19098.113398893678</v>
      </c>
      <c r="F46">
        <f>ROUND(2*E46,0)/2</f>
        <v>19098</v>
      </c>
      <c r="G46">
        <f>+C46-(C$7+F46*C$8)</f>
        <v>3.6900000006426126E-2</v>
      </c>
      <c r="K46">
        <f>+G46</f>
        <v>3.6900000006426126E-2</v>
      </c>
      <c r="O46">
        <f ca="1">+C$11+C$12*$F46</f>
        <v>3.8422407428900081E-2</v>
      </c>
      <c r="P46">
        <f>+D$11+D$12*F46+D$13*F46^2</f>
        <v>4.1285342139628735E-2</v>
      </c>
      <c r="Q46" s="2">
        <f>+C46-15018.5</f>
        <v>42470.939100000003</v>
      </c>
      <c r="S46">
        <f>+(P46-G46)^2</f>
        <v>1.923122562524201E-5</v>
      </c>
    </row>
    <row r="47" spans="1:19" x14ac:dyDescent="0.2">
      <c r="A47" s="64" t="s">
        <v>0</v>
      </c>
      <c r="B47" s="65" t="s">
        <v>40</v>
      </c>
      <c r="C47" s="66">
        <v>57489.6014</v>
      </c>
      <c r="D47" s="66">
        <v>2.0000000000000001E-4</v>
      </c>
      <c r="E47">
        <f>+(C47-C$7)/C$8</f>
        <v>19098.612169637367</v>
      </c>
      <c r="F47">
        <f>ROUND(2*E47,0)/2</f>
        <v>19098.5</v>
      </c>
      <c r="G47">
        <f>+C47-(C$7+F47*C$8)</f>
        <v>3.650000000197906E-2</v>
      </c>
      <c r="K47">
        <f>+G47</f>
        <v>3.650000000197906E-2</v>
      </c>
      <c r="O47">
        <f ca="1">+C$11+C$12*$F47</f>
        <v>3.8424489939324576E-2</v>
      </c>
      <c r="P47">
        <f>+D$11+D$12*F47+D$13*F47^2</f>
        <v>4.1287492709175172E-2</v>
      </c>
      <c r="Q47" s="2">
        <f>+C47-15018.5</f>
        <v>42471.1014</v>
      </c>
      <c r="S47">
        <f>+(P47-G47)^2</f>
        <v>2.2920086421455954E-5</v>
      </c>
    </row>
    <row r="48" spans="1:19" ht="12" customHeight="1" x14ac:dyDescent="0.2">
      <c r="A48" s="64" t="s">
        <v>0</v>
      </c>
      <c r="B48" s="65" t="s">
        <v>41</v>
      </c>
      <c r="C48" s="66">
        <v>57844.457300000002</v>
      </c>
      <c r="D48" s="66">
        <v>5.0000000000000001E-4</v>
      </c>
      <c r="E48">
        <f>+(C48-C$7)/C$8</f>
        <v>20189.13429625077</v>
      </c>
      <c r="F48">
        <f>ROUND(2*E48,0)/2</f>
        <v>20189</v>
      </c>
      <c r="G48">
        <f>+C48-(C$7+F48*C$8)</f>
        <v>4.3700000001990702E-2</v>
      </c>
      <c r="K48">
        <f>+G48</f>
        <v>4.3700000001990702E-2</v>
      </c>
      <c r="O48">
        <f ca="1">+C$11+C$12*$F48</f>
        <v>4.2966445175162356E-2</v>
      </c>
      <c r="P48">
        <f>+D$11+D$12*F48+D$13*F48^2</f>
        <v>4.6111189453724589E-2</v>
      </c>
      <c r="Q48" s="2">
        <f>+C48-15018.5</f>
        <v>42825.957300000002</v>
      </c>
      <c r="S48">
        <f>+(P48-G48)^2</f>
        <v>5.8138345721527647E-6</v>
      </c>
    </row>
    <row r="49" spans="1:19" ht="12" customHeight="1" x14ac:dyDescent="0.2">
      <c r="A49" s="64" t="s">
        <v>0</v>
      </c>
      <c r="B49" s="65" t="s">
        <v>41</v>
      </c>
      <c r="C49" s="66">
        <v>57844.620199999998</v>
      </c>
      <c r="D49" s="66">
        <v>1.1000000000000001E-3</v>
      </c>
      <c r="E49">
        <f>+(C49-C$7)/C$8</f>
        <v>20189.634910878907</v>
      </c>
      <c r="F49">
        <f>ROUND(2*E49,0)/2</f>
        <v>20189.5</v>
      </c>
      <c r="G49">
        <f>+C49-(C$7+F49*C$8)</f>
        <v>4.3899999996938277E-2</v>
      </c>
      <c r="K49">
        <f>+G49</f>
        <v>4.3899999996938277E-2</v>
      </c>
      <c r="O49">
        <f ca="1">+C$11+C$12*$F49</f>
        <v>4.2968527685586851E-2</v>
      </c>
      <c r="P49">
        <f>+D$11+D$12*F49+D$13*F49^2</f>
        <v>4.611346226496179E-2</v>
      </c>
      <c r="Q49" s="2">
        <f>+C49-15018.5</f>
        <v>42826.120199999998</v>
      </c>
      <c r="S49">
        <f>+(P49-G49)^2</f>
        <v>4.8994152119637916E-6</v>
      </c>
    </row>
    <row r="50" spans="1:19" ht="12" customHeight="1" x14ac:dyDescent="0.2">
      <c r="A50" s="61" t="s">
        <v>120</v>
      </c>
      <c r="B50" s="62" t="s">
        <v>40</v>
      </c>
      <c r="C50" s="63">
        <v>58188.898000000001</v>
      </c>
      <c r="D50" s="63">
        <v>2.0000000000000001E-4</v>
      </c>
      <c r="E50">
        <f>+(C50-C$7)/C$8</f>
        <v>21247.649047326369</v>
      </c>
      <c r="F50">
        <f>ROUND(2*E50,0)/2</f>
        <v>21247.5</v>
      </c>
      <c r="G50">
        <f>+C50-(C$7+F50*C$8)</f>
        <v>4.8499999997147825E-2</v>
      </c>
      <c r="K50">
        <f>+G50</f>
        <v>4.8499999997147825E-2</v>
      </c>
      <c r="O50">
        <f ca="1">+C$11+C$12*$F50</f>
        <v>4.7375119743832038E-2</v>
      </c>
      <c r="P50">
        <f>+D$11+D$12*F50+D$13*F50^2</f>
        <v>5.1048209865567733E-2</v>
      </c>
      <c r="Q50" s="2">
        <f>+C50-15018.5</f>
        <v>43170.398000000001</v>
      </c>
      <c r="S50">
        <f>+(P50-G50)^2</f>
        <v>6.4933735335126057E-6</v>
      </c>
    </row>
    <row r="51" spans="1:19" ht="12" customHeight="1" x14ac:dyDescent="0.2">
      <c r="A51" s="69" t="s">
        <v>119</v>
      </c>
      <c r="C51" s="9">
        <v>58929.841399999998</v>
      </c>
      <c r="D51" s="9">
        <v>1E-4</v>
      </c>
      <c r="E51">
        <f>+(C51-C$7)/C$8</f>
        <v>23524.672403196055</v>
      </c>
      <c r="F51">
        <f>ROUND(2*E51,0)/2</f>
        <v>23524.5</v>
      </c>
      <c r="G51">
        <f>+C51-(C$7+F51*C$8)</f>
        <v>5.6099999994330574E-2</v>
      </c>
      <c r="K51">
        <f>+G51</f>
        <v>5.6099999994330574E-2</v>
      </c>
      <c r="O51">
        <f ca="1">+C$11+C$12*$F51</f>
        <v>5.6858872217011878E-2</v>
      </c>
      <c r="P51">
        <f>+D$11+D$12*F51+D$13*F51^2</f>
        <v>6.2519495826474106E-2</v>
      </c>
      <c r="Q51" s="2">
        <f>+C51-15018.5</f>
        <v>43911.341399999998</v>
      </c>
      <c r="S51">
        <f>+(P51-G51)^2</f>
        <v>4.120992673890818E-5</v>
      </c>
    </row>
    <row r="52" spans="1:19" ht="12" customHeight="1" x14ac:dyDescent="0.2">
      <c r="A52" s="70" t="s">
        <v>121</v>
      </c>
      <c r="B52" s="71" t="s">
        <v>41</v>
      </c>
      <c r="C52" s="72">
        <v>59305.356800000001</v>
      </c>
      <c r="D52" s="70">
        <v>1.1999999999999999E-3</v>
      </c>
      <c r="E52">
        <f>+(C52-C$7)/C$8</f>
        <v>24678.684081130916</v>
      </c>
      <c r="F52">
        <f>ROUND(2*E52,0)/2</f>
        <v>24678.5</v>
      </c>
      <c r="G52">
        <f>+C52-(C$7+F52*C$8)</f>
        <v>5.9900000000197906E-2</v>
      </c>
      <c r="K52">
        <f>+G52</f>
        <v>5.9900000000197906E-2</v>
      </c>
      <c r="O52">
        <f ca="1">+C$11+C$12*$F52</f>
        <v>6.1665306276761346E-2</v>
      </c>
      <c r="P52">
        <f>+D$11+D$12*F52+D$13*F52^2</f>
        <v>6.8776856394810876E-2</v>
      </c>
      <c r="Q52" s="2">
        <f>+C52-15018.5</f>
        <v>44286.856800000001</v>
      </c>
      <c r="S52">
        <f>+(P52-G52)^2</f>
        <v>7.8798579450581173E-5</v>
      </c>
    </row>
    <row r="53" spans="1:19" ht="12" customHeight="1" x14ac:dyDescent="0.2">
      <c r="A53" s="70" t="s">
        <v>121</v>
      </c>
      <c r="B53" s="71" t="s">
        <v>41</v>
      </c>
      <c r="C53" s="72">
        <v>59305.521999999997</v>
      </c>
      <c r="D53" s="70">
        <v>4.4000000000000003E-3</v>
      </c>
      <c r="E53">
        <f>+(C53-C$7)/C$8</f>
        <v>24679.191763982777</v>
      </c>
      <c r="F53">
        <f>ROUND(2*E53,0)/2</f>
        <v>24679</v>
      </c>
      <c r="G53">
        <f>+C53-(C$7+F53*C$8)</f>
        <v>6.2399999995250255E-2</v>
      </c>
      <c r="K53">
        <f>+G53</f>
        <v>6.2399999995250255E-2</v>
      </c>
      <c r="O53">
        <f ca="1">+C$11+C$12*$F53</f>
        <v>6.1667388787185841E-2</v>
      </c>
      <c r="P53">
        <f>+D$11+D$12*F53+D$13*F53^2</f>
        <v>6.8779632234527099E-2</v>
      </c>
      <c r="Q53" s="2">
        <f>+C53-15018.5</f>
        <v>44287.021999999997</v>
      </c>
      <c r="S53">
        <f>+(P53-G53)^2</f>
        <v>4.0699707508420486E-5</v>
      </c>
    </row>
    <row r="54" spans="1:19" ht="12" customHeight="1" x14ac:dyDescent="0.2">
      <c r="A54" s="70" t="s">
        <v>122</v>
      </c>
      <c r="B54" s="71" t="s">
        <v>41</v>
      </c>
      <c r="C54" s="72">
        <v>59629.787900000003</v>
      </c>
      <c r="D54" s="70">
        <v>2.0000000000000001E-4</v>
      </c>
      <c r="E54">
        <f>+(C54-C$7)/C$8</f>
        <v>25675.706515058395</v>
      </c>
      <c r="F54">
        <f>ROUND(2*E54,0)/2</f>
        <v>25675.5</v>
      </c>
      <c r="G54">
        <f>+C54-(C$7+F54*C$8)</f>
        <v>6.7199999997683335E-2</v>
      </c>
      <c r="K54">
        <f>+G54</f>
        <v>6.7199999997683335E-2</v>
      </c>
      <c r="O54">
        <f ca="1">+C$11+C$12*$F54</f>
        <v>6.5817832063217341E-2</v>
      </c>
      <c r="P54">
        <f>+D$11+D$12*F54+D$13*F54^2</f>
        <v>7.4423199215436567E-2</v>
      </c>
      <c r="Q54" s="2">
        <f>+C54-15018.5</f>
        <v>44611.287900000003</v>
      </c>
      <c r="S54">
        <f>+(P54-G54)^2</f>
        <v>5.2174606939350895E-5</v>
      </c>
    </row>
    <row r="55" spans="1:19" ht="12" customHeight="1" x14ac:dyDescent="0.2">
      <c r="C55" s="9"/>
      <c r="D55" s="9"/>
    </row>
    <row r="56" spans="1:19" x14ac:dyDescent="0.2">
      <c r="C56" s="9"/>
      <c r="D56" s="9"/>
    </row>
    <row r="57" spans="1:19" x14ac:dyDescent="0.2">
      <c r="C57" s="9"/>
      <c r="D57" s="9"/>
    </row>
    <row r="58" spans="1:19" x14ac:dyDescent="0.2">
      <c r="C58" s="9"/>
      <c r="D58" s="9"/>
    </row>
    <row r="59" spans="1:19" x14ac:dyDescent="0.2">
      <c r="C59" s="9"/>
      <c r="D59" s="9"/>
    </row>
    <row r="60" spans="1:19" x14ac:dyDescent="0.2">
      <c r="C60" s="9"/>
      <c r="D60" s="9"/>
    </row>
    <row r="61" spans="1:19" x14ac:dyDescent="0.2">
      <c r="C61" s="9"/>
      <c r="D61" s="9"/>
    </row>
    <row r="62" spans="1:19" x14ac:dyDescent="0.2">
      <c r="C62" s="9"/>
      <c r="D62" s="9"/>
    </row>
    <row r="63" spans="1:19" x14ac:dyDescent="0.2">
      <c r="C63" s="9"/>
      <c r="D63" s="9"/>
    </row>
    <row r="64" spans="1:19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sortState xmlns:xlrd2="http://schemas.microsoft.com/office/spreadsheetml/2017/richdata2" ref="A21:T54">
    <sortCondition ref="C21:C54"/>
  </sortState>
  <phoneticPr fontId="8" type="noConversion"/>
  <hyperlinks>
    <hyperlink ref="H62311" r:id="rId1" display="http://vsolj.cetus-net.org/bulletin.html"/>
    <hyperlink ref="H62304" r:id="rId2" display="https://www.aavso.org/ejaavso"/>
    <hyperlink ref="I62311" r:id="rId3" display="http://vsolj.cetus-net.org/bulletin.html"/>
    <hyperlink ref="AQ55954" r:id="rId4" display="http://cdsbib.u-strasbg.fr/cgi-bin/cdsbib?1990RMxAA..21..381G"/>
    <hyperlink ref="H62308" r:id="rId5" display="https://www.aavso.org/ejaavso"/>
    <hyperlink ref="AP3318" r:id="rId6" display="http://cdsbib.u-strasbg.fr/cgi-bin/cdsbib?1990RMxAA..21..381G"/>
    <hyperlink ref="AP3321" r:id="rId7" display="http://cdsbib.u-strasbg.fr/cgi-bin/cdsbib?1990RMxAA..21..381G"/>
    <hyperlink ref="AP3319" r:id="rId8" display="http://cdsbib.u-strasbg.fr/cgi-bin/cdsbib?1990RMxAA..21..381G"/>
    <hyperlink ref="AP3303" r:id="rId9" display="http://cdsbib.u-strasbg.fr/cgi-bin/cdsbib?1990RMxAA..21..381G"/>
    <hyperlink ref="AQ3532" r:id="rId10" display="http://cdsbib.u-strasbg.fr/cgi-bin/cdsbib?1990RMxAA..21..381G"/>
    <hyperlink ref="AQ3536" r:id="rId11" display="http://cdsbib.u-strasbg.fr/cgi-bin/cdsbib?1990RMxAA..21..381G"/>
    <hyperlink ref="AQ63224" r:id="rId12" display="http://cdsbib.u-strasbg.fr/cgi-bin/cdsbib?1990RMxAA..21..381G"/>
    <hyperlink ref="I424" r:id="rId13" display="http://vsolj.cetus-net.org/bulletin.html"/>
    <hyperlink ref="H424" r:id="rId14" display="http://vsolj.cetus-net.org/bulletin.html"/>
    <hyperlink ref="AQ63885" r:id="rId15" display="http://cdsbib.u-strasbg.fr/cgi-bin/cdsbib?1990RMxAA..21..381G"/>
    <hyperlink ref="AQ63884" r:id="rId16" display="http://cdsbib.u-strasbg.fr/cgi-bin/cdsbib?1990RMxAA..21..381G"/>
    <hyperlink ref="AP1594" r:id="rId17" display="http://cdsbib.u-strasbg.fr/cgi-bin/cdsbib?1990RMxAA..21..381G"/>
    <hyperlink ref="AP1612" r:id="rId18" display="http://cdsbib.u-strasbg.fr/cgi-bin/cdsbib?1990RMxAA..21..381G"/>
    <hyperlink ref="AP1613" r:id="rId19" display="http://cdsbib.u-strasbg.fr/cgi-bin/cdsbib?1990RMxAA..21..381G"/>
    <hyperlink ref="AP160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selection activeCell="A16" sqref="A16:C2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20" si="0">P11</f>
        <v>BAVM 186 </v>
      </c>
      <c r="B11" s="13" t="str">
        <f t="shared" ref="B11:B20" si="1">IF(H11=INT(H11),"I","II")</f>
        <v>I</v>
      </c>
      <c r="C11" s="9">
        <f t="shared" ref="C11:C20" si="2">1*G11</f>
        <v>53863.475599999998</v>
      </c>
      <c r="D11" s="11" t="str">
        <f t="shared" ref="D11:D20" si="3">VLOOKUP(F11,I$1:J$5,2,FALSE)</f>
        <v>vis</v>
      </c>
      <c r="E11" s="45">
        <f>VLOOKUP(C11,Active!C$21:E$971,3,FALSE)</f>
        <v>7955.0172095881908</v>
      </c>
      <c r="F11" s="13" t="s">
        <v>61</v>
      </c>
      <c r="G11" s="11" t="str">
        <f t="shared" ref="G11:G20" si="4">MID(I11,3,LEN(I11)-3)</f>
        <v>53863.4756</v>
      </c>
      <c r="H11" s="9">
        <f t="shared" ref="H11:H20" si="5">1*K11</f>
        <v>7955</v>
      </c>
      <c r="I11" s="46" t="s">
        <v>63</v>
      </c>
      <c r="J11" s="47" t="s">
        <v>64</v>
      </c>
      <c r="K11" s="46">
        <v>7955</v>
      </c>
      <c r="L11" s="46" t="s">
        <v>65</v>
      </c>
      <c r="M11" s="47" t="s">
        <v>66</v>
      </c>
      <c r="N11" s="47" t="s">
        <v>67</v>
      </c>
      <c r="O11" s="48" t="s">
        <v>68</v>
      </c>
      <c r="P11" s="49" t="s">
        <v>69</v>
      </c>
    </row>
    <row r="12" spans="1:16" ht="12.75" customHeight="1" thickBot="1" x14ac:dyDescent="0.25">
      <c r="A12" s="9" t="str">
        <f t="shared" si="0"/>
        <v>BAVM 214 </v>
      </c>
      <c r="B12" s="13" t="str">
        <f t="shared" si="1"/>
        <v>II</v>
      </c>
      <c r="C12" s="9">
        <f t="shared" si="2"/>
        <v>54921.523399999998</v>
      </c>
      <c r="D12" s="11" t="str">
        <f t="shared" si="3"/>
        <v>vis</v>
      </c>
      <c r="E12" s="45">
        <f>VLOOKUP(C12,Active!C$21:E$971,3,FALSE)</f>
        <v>11206.547019053465</v>
      </c>
      <c r="F12" s="13" t="s">
        <v>61</v>
      </c>
      <c r="G12" s="11" t="str">
        <f t="shared" si="4"/>
        <v>54921.5234</v>
      </c>
      <c r="H12" s="9">
        <f t="shared" si="5"/>
        <v>11206.5</v>
      </c>
      <c r="I12" s="46" t="s">
        <v>70</v>
      </c>
      <c r="J12" s="47" t="s">
        <v>71</v>
      </c>
      <c r="K12" s="46" t="s">
        <v>72</v>
      </c>
      <c r="L12" s="46" t="s">
        <v>73</v>
      </c>
      <c r="M12" s="47" t="s">
        <v>66</v>
      </c>
      <c r="N12" s="47" t="s">
        <v>67</v>
      </c>
      <c r="O12" s="48" t="s">
        <v>68</v>
      </c>
      <c r="P12" s="49" t="s">
        <v>74</v>
      </c>
    </row>
    <row r="13" spans="1:16" ht="12.75" customHeight="1" thickBot="1" x14ac:dyDescent="0.25">
      <c r="A13" s="9" t="str">
        <f t="shared" si="0"/>
        <v>BAVM 220 </v>
      </c>
      <c r="B13" s="13" t="str">
        <f t="shared" si="1"/>
        <v>I</v>
      </c>
      <c r="C13" s="9">
        <f t="shared" si="2"/>
        <v>55309.564899999998</v>
      </c>
      <c r="D13" s="11" t="str">
        <f t="shared" si="3"/>
        <v>vis</v>
      </c>
      <c r="E13" s="45">
        <f>VLOOKUP(C13,Active!C$21:E$971,3,FALSE)</f>
        <v>12399.053165334963</v>
      </c>
      <c r="F13" s="13" t="s">
        <v>61</v>
      </c>
      <c r="G13" s="11" t="str">
        <f t="shared" si="4"/>
        <v>55309.5649</v>
      </c>
      <c r="H13" s="9">
        <f t="shared" si="5"/>
        <v>12399</v>
      </c>
      <c r="I13" s="46" t="s">
        <v>75</v>
      </c>
      <c r="J13" s="47" t="s">
        <v>76</v>
      </c>
      <c r="K13" s="46" t="s">
        <v>77</v>
      </c>
      <c r="L13" s="46" t="s">
        <v>78</v>
      </c>
      <c r="M13" s="47" t="s">
        <v>66</v>
      </c>
      <c r="N13" s="47" t="s">
        <v>67</v>
      </c>
      <c r="O13" s="48" t="s">
        <v>68</v>
      </c>
      <c r="P13" s="49" t="s">
        <v>79</v>
      </c>
    </row>
    <row r="14" spans="1:16" ht="12.75" customHeight="1" thickBot="1" x14ac:dyDescent="0.25">
      <c r="A14" s="9" t="str">
        <f t="shared" si="0"/>
        <v> JAAVSO 39;177 </v>
      </c>
      <c r="B14" s="13" t="str">
        <f t="shared" si="1"/>
        <v>I</v>
      </c>
      <c r="C14" s="9">
        <f t="shared" si="2"/>
        <v>55639.525300000001</v>
      </c>
      <c r="D14" s="11" t="str">
        <f t="shared" si="3"/>
        <v>vis</v>
      </c>
      <c r="E14" s="45">
        <f>VLOOKUP(C14,Active!C$21:E$971,3,FALSE)</f>
        <v>13413.067916410573</v>
      </c>
      <c r="F14" s="13" t="s">
        <v>61</v>
      </c>
      <c r="G14" s="11" t="str">
        <f t="shared" si="4"/>
        <v>55639.5253</v>
      </c>
      <c r="H14" s="9">
        <f t="shared" si="5"/>
        <v>13413</v>
      </c>
      <c r="I14" s="46" t="s">
        <v>80</v>
      </c>
      <c r="J14" s="47" t="s">
        <v>81</v>
      </c>
      <c r="K14" s="46" t="s">
        <v>82</v>
      </c>
      <c r="L14" s="46" t="s">
        <v>83</v>
      </c>
      <c r="M14" s="47" t="s">
        <v>66</v>
      </c>
      <c r="N14" s="47" t="s">
        <v>61</v>
      </c>
      <c r="O14" s="48" t="s">
        <v>84</v>
      </c>
      <c r="P14" s="48" t="s">
        <v>85</v>
      </c>
    </row>
    <row r="15" spans="1:16" ht="12.75" customHeight="1" thickBot="1" x14ac:dyDescent="0.25">
      <c r="A15" s="9" t="str">
        <f t="shared" si="0"/>
        <v>BAVM 234 </v>
      </c>
      <c r="B15" s="13" t="str">
        <f t="shared" si="1"/>
        <v>I</v>
      </c>
      <c r="C15" s="9">
        <f t="shared" si="2"/>
        <v>56390.554900000003</v>
      </c>
      <c r="D15" s="11" t="str">
        <f t="shared" si="3"/>
        <v>vis</v>
      </c>
      <c r="E15" s="45">
        <f>VLOOKUP(C15,Active!C$21:E$971,3,FALSE)</f>
        <v>15721.087584511377</v>
      </c>
      <c r="F15" s="13" t="s">
        <v>61</v>
      </c>
      <c r="G15" s="11" t="str">
        <f t="shared" si="4"/>
        <v>56390.5549</v>
      </c>
      <c r="H15" s="9">
        <f t="shared" si="5"/>
        <v>15721</v>
      </c>
      <c r="I15" s="46" t="s">
        <v>93</v>
      </c>
      <c r="J15" s="47" t="s">
        <v>94</v>
      </c>
      <c r="K15" s="46" t="s">
        <v>95</v>
      </c>
      <c r="L15" s="46" t="s">
        <v>96</v>
      </c>
      <c r="M15" s="47" t="s">
        <v>66</v>
      </c>
      <c r="N15" s="47" t="s">
        <v>61</v>
      </c>
      <c r="O15" s="48" t="s">
        <v>97</v>
      </c>
      <c r="P15" s="49" t="s">
        <v>98</v>
      </c>
    </row>
    <row r="16" spans="1:16" ht="12.75" customHeight="1" thickBot="1" x14ac:dyDescent="0.25">
      <c r="A16" s="9" t="str">
        <f t="shared" si="0"/>
        <v>IBVS 6018 </v>
      </c>
      <c r="B16" s="13" t="str">
        <f t="shared" si="1"/>
        <v>I</v>
      </c>
      <c r="C16" s="9">
        <f t="shared" si="2"/>
        <v>55682.805099999998</v>
      </c>
      <c r="D16" s="11" t="str">
        <f t="shared" si="3"/>
        <v>vis</v>
      </c>
      <c r="E16" s="45" t="e">
        <f>VLOOKUP(C16,Active!C$21:E$971,3,FALSE)</f>
        <v>#N/A</v>
      </c>
      <c r="F16" s="13" t="s">
        <v>61</v>
      </c>
      <c r="G16" s="11" t="str">
        <f t="shared" si="4"/>
        <v>55682.8051</v>
      </c>
      <c r="H16" s="9">
        <f t="shared" si="5"/>
        <v>13546</v>
      </c>
      <c r="I16" s="46" t="s">
        <v>86</v>
      </c>
      <c r="J16" s="47" t="s">
        <v>87</v>
      </c>
      <c r="K16" s="46" t="s">
        <v>88</v>
      </c>
      <c r="L16" s="46" t="s">
        <v>89</v>
      </c>
      <c r="M16" s="47" t="s">
        <v>66</v>
      </c>
      <c r="N16" s="47" t="s">
        <v>90</v>
      </c>
      <c r="O16" s="48" t="s">
        <v>91</v>
      </c>
      <c r="P16" s="49" t="s">
        <v>92</v>
      </c>
    </row>
    <row r="17" spans="1:16" ht="12.75" customHeight="1" thickBot="1" x14ac:dyDescent="0.25">
      <c r="A17" s="9" t="str">
        <f t="shared" si="0"/>
        <v>BAVM 241 (=IBVS 6157) </v>
      </c>
      <c r="B17" s="13" t="str">
        <f t="shared" si="1"/>
        <v>II</v>
      </c>
      <c r="C17" s="9">
        <f t="shared" si="2"/>
        <v>56712.538800000002</v>
      </c>
      <c r="D17" s="11" t="str">
        <f t="shared" si="3"/>
        <v>vis</v>
      </c>
      <c r="E17" s="45">
        <f>VLOOKUP(C17,Active!C$21:E$971,3,FALSE)</f>
        <v>16710.589428395826</v>
      </c>
      <c r="F17" s="13" t="s">
        <v>61</v>
      </c>
      <c r="G17" s="11" t="str">
        <f t="shared" si="4"/>
        <v>56712.5388</v>
      </c>
      <c r="H17" s="9">
        <f t="shared" si="5"/>
        <v>16710.5</v>
      </c>
      <c r="I17" s="46" t="s">
        <v>99</v>
      </c>
      <c r="J17" s="47" t="s">
        <v>100</v>
      </c>
      <c r="K17" s="46" t="s">
        <v>101</v>
      </c>
      <c r="L17" s="46" t="s">
        <v>102</v>
      </c>
      <c r="M17" s="47" t="s">
        <v>66</v>
      </c>
      <c r="N17" s="47" t="s">
        <v>61</v>
      </c>
      <c r="O17" s="48" t="s">
        <v>97</v>
      </c>
      <c r="P17" s="49" t="s">
        <v>103</v>
      </c>
    </row>
    <row r="18" spans="1:16" ht="12.75" customHeight="1" thickBot="1" x14ac:dyDescent="0.25">
      <c r="A18" s="9" t="str">
        <f t="shared" si="0"/>
        <v>BAVM 241 (=IBVS 6157) </v>
      </c>
      <c r="B18" s="13" t="str">
        <f t="shared" si="1"/>
        <v>I</v>
      </c>
      <c r="C18" s="9">
        <f t="shared" si="2"/>
        <v>56712.701399999998</v>
      </c>
      <c r="D18" s="11" t="str">
        <f t="shared" si="3"/>
        <v>vis</v>
      </c>
      <c r="E18" s="45">
        <f>VLOOKUP(C18,Active!C$21:E$971,3,FALSE)</f>
        <v>16711.089121081735</v>
      </c>
      <c r="F18" s="13" t="s">
        <v>61</v>
      </c>
      <c r="G18" s="11" t="str">
        <f t="shared" si="4"/>
        <v>56712.7014</v>
      </c>
      <c r="H18" s="9">
        <f t="shared" si="5"/>
        <v>16711</v>
      </c>
      <c r="I18" s="46" t="s">
        <v>104</v>
      </c>
      <c r="J18" s="47" t="s">
        <v>105</v>
      </c>
      <c r="K18" s="46" t="s">
        <v>106</v>
      </c>
      <c r="L18" s="46" t="s">
        <v>107</v>
      </c>
      <c r="M18" s="47" t="s">
        <v>66</v>
      </c>
      <c r="N18" s="47" t="s">
        <v>61</v>
      </c>
      <c r="O18" s="48" t="s">
        <v>97</v>
      </c>
      <c r="P18" s="49" t="s">
        <v>103</v>
      </c>
    </row>
    <row r="19" spans="1:16" ht="12.75" customHeight="1" thickBot="1" x14ac:dyDescent="0.25">
      <c r="A19" s="9" t="str">
        <f t="shared" si="0"/>
        <v>BAVM 241 (=IBVS 6157) </v>
      </c>
      <c r="B19" s="13" t="str">
        <f t="shared" si="1"/>
        <v>II</v>
      </c>
      <c r="C19" s="9">
        <f t="shared" si="2"/>
        <v>56772.413800000002</v>
      </c>
      <c r="D19" s="11" t="str">
        <f t="shared" si="3"/>
        <v>vis</v>
      </c>
      <c r="E19" s="45">
        <f>VLOOKUP(C19,Active!C$21:E$971,3,FALSE)</f>
        <v>16894.593730792873</v>
      </c>
      <c r="F19" s="13" t="s">
        <v>61</v>
      </c>
      <c r="G19" s="11" t="str">
        <f t="shared" si="4"/>
        <v>56772.4138</v>
      </c>
      <c r="H19" s="9">
        <f t="shared" si="5"/>
        <v>16894.5</v>
      </c>
      <c r="I19" s="46" t="s">
        <v>108</v>
      </c>
      <c r="J19" s="47" t="s">
        <v>109</v>
      </c>
      <c r="K19" s="46" t="s">
        <v>110</v>
      </c>
      <c r="L19" s="46" t="s">
        <v>111</v>
      </c>
      <c r="M19" s="47" t="s">
        <v>66</v>
      </c>
      <c r="N19" s="47" t="s">
        <v>61</v>
      </c>
      <c r="O19" s="48" t="s">
        <v>97</v>
      </c>
      <c r="P19" s="49" t="s">
        <v>103</v>
      </c>
    </row>
    <row r="20" spans="1:16" ht="12.75" customHeight="1" thickBot="1" x14ac:dyDescent="0.25">
      <c r="A20" s="9" t="str">
        <f t="shared" si="0"/>
        <v>BAVM 241 (=IBVS 6157) </v>
      </c>
      <c r="B20" s="13" t="str">
        <f t="shared" si="1"/>
        <v>I</v>
      </c>
      <c r="C20" s="9">
        <f t="shared" si="2"/>
        <v>56772.576300000001</v>
      </c>
      <c r="D20" s="11" t="str">
        <f t="shared" si="3"/>
        <v>vis</v>
      </c>
      <c r="E20" s="45">
        <f>VLOOKUP(C20,Active!C$21:E$971,3,FALSE)</f>
        <v>16895.09311616472</v>
      </c>
      <c r="F20" s="13" t="s">
        <v>61</v>
      </c>
      <c r="G20" s="11" t="str">
        <f t="shared" si="4"/>
        <v>56772.5763</v>
      </c>
      <c r="H20" s="9">
        <f t="shared" si="5"/>
        <v>16895</v>
      </c>
      <c r="I20" s="46" t="s">
        <v>112</v>
      </c>
      <c r="J20" s="47" t="s">
        <v>113</v>
      </c>
      <c r="K20" s="46" t="s">
        <v>114</v>
      </c>
      <c r="L20" s="46" t="s">
        <v>115</v>
      </c>
      <c r="M20" s="47" t="s">
        <v>66</v>
      </c>
      <c r="N20" s="47" t="s">
        <v>61</v>
      </c>
      <c r="O20" s="48" t="s">
        <v>97</v>
      </c>
      <c r="P20" s="49" t="s">
        <v>103</v>
      </c>
    </row>
    <row r="21" spans="1:16" x14ac:dyDescent="0.2">
      <c r="B21" s="13"/>
      <c r="E21" s="45"/>
      <c r="F21" s="13"/>
    </row>
    <row r="22" spans="1:16" x14ac:dyDescent="0.2">
      <c r="B22" s="13"/>
      <c r="E22" s="45"/>
      <c r="F22" s="13"/>
    </row>
    <row r="23" spans="1:16" x14ac:dyDescent="0.2">
      <c r="B23" s="13"/>
      <c r="E23" s="45"/>
      <c r="F23" s="13"/>
    </row>
    <row r="24" spans="1:16" x14ac:dyDescent="0.2">
      <c r="B24" s="13"/>
      <c r="E24" s="45"/>
      <c r="F24" s="13"/>
    </row>
    <row r="25" spans="1:16" x14ac:dyDescent="0.2">
      <c r="B25" s="13"/>
      <c r="E25" s="45"/>
      <c r="F25" s="13"/>
    </row>
    <row r="26" spans="1:16" x14ac:dyDescent="0.2">
      <c r="B26" s="13"/>
      <c r="E26" s="45"/>
      <c r="F26" s="13"/>
    </row>
    <row r="27" spans="1:16" x14ac:dyDescent="0.2">
      <c r="B27" s="13"/>
      <c r="E27" s="45"/>
      <c r="F27" s="13"/>
    </row>
    <row r="28" spans="1:16" x14ac:dyDescent="0.2">
      <c r="B28" s="13"/>
      <c r="E28" s="45"/>
      <c r="F28" s="13"/>
    </row>
    <row r="29" spans="1:16" x14ac:dyDescent="0.2">
      <c r="B29" s="13"/>
      <c r="E29" s="45"/>
      <c r="F29" s="13"/>
    </row>
    <row r="30" spans="1:16" x14ac:dyDescent="0.2">
      <c r="B30" s="13"/>
      <c r="E30" s="45"/>
      <c r="F30" s="13"/>
    </row>
    <row r="31" spans="1:16" x14ac:dyDescent="0.2">
      <c r="B31" s="13"/>
      <c r="E31" s="45"/>
      <c r="F31" s="13"/>
    </row>
    <row r="32" spans="1:16" x14ac:dyDescent="0.2">
      <c r="B32" s="13"/>
      <c r="E32" s="45"/>
      <c r="F32" s="13"/>
    </row>
    <row r="33" spans="2:6" x14ac:dyDescent="0.2">
      <c r="B33" s="13"/>
      <c r="E33" s="45"/>
      <c r="F33" s="13"/>
    </row>
    <row r="34" spans="2:6" x14ac:dyDescent="0.2">
      <c r="B34" s="13"/>
      <c r="E34" s="45"/>
      <c r="F34" s="13"/>
    </row>
    <row r="35" spans="2:6" x14ac:dyDescent="0.2">
      <c r="B35" s="13"/>
      <c r="E35" s="45"/>
      <c r="F35" s="13"/>
    </row>
    <row r="36" spans="2:6" x14ac:dyDescent="0.2">
      <c r="B36" s="13"/>
      <c r="E36" s="45"/>
      <c r="F36" s="13"/>
    </row>
    <row r="37" spans="2:6" x14ac:dyDescent="0.2">
      <c r="B37" s="13"/>
      <c r="E37" s="45"/>
      <c r="F37" s="13"/>
    </row>
    <row r="38" spans="2:6" x14ac:dyDescent="0.2">
      <c r="B38" s="13"/>
      <c r="E38" s="45"/>
      <c r="F38" s="13"/>
    </row>
    <row r="39" spans="2:6" x14ac:dyDescent="0.2">
      <c r="B39" s="13"/>
      <c r="E39" s="45"/>
      <c r="F39" s="13"/>
    </row>
    <row r="40" spans="2:6" x14ac:dyDescent="0.2">
      <c r="B40" s="13"/>
      <c r="E40" s="45"/>
      <c r="F40" s="13"/>
    </row>
    <row r="41" spans="2:6" x14ac:dyDescent="0.2">
      <c r="B41" s="13"/>
      <c r="E41" s="45"/>
      <c r="F41" s="13"/>
    </row>
    <row r="42" spans="2:6" x14ac:dyDescent="0.2">
      <c r="B42" s="13"/>
      <c r="E42" s="45"/>
      <c r="F42" s="13"/>
    </row>
    <row r="43" spans="2:6" x14ac:dyDescent="0.2">
      <c r="B43" s="13"/>
      <c r="E43" s="45"/>
      <c r="F43" s="13"/>
    </row>
    <row r="44" spans="2:6" x14ac:dyDescent="0.2">
      <c r="B44" s="13"/>
      <c r="E44" s="45"/>
      <c r="F44" s="13"/>
    </row>
    <row r="45" spans="2:6" x14ac:dyDescent="0.2">
      <c r="B45" s="13"/>
      <c r="E45" s="45"/>
      <c r="F45" s="13"/>
    </row>
    <row r="46" spans="2:6" x14ac:dyDescent="0.2">
      <c r="B46" s="13"/>
      <c r="E46" s="45"/>
      <c r="F46" s="13"/>
    </row>
    <row r="47" spans="2:6" x14ac:dyDescent="0.2">
      <c r="B47" s="13"/>
      <c r="E47" s="45"/>
      <c r="F47" s="13"/>
    </row>
    <row r="48" spans="2:6" x14ac:dyDescent="0.2">
      <c r="B48" s="13"/>
      <c r="E48" s="45"/>
      <c r="F48" s="13"/>
    </row>
    <row r="49" spans="2:6" x14ac:dyDescent="0.2">
      <c r="B49" s="13"/>
      <c r="E49" s="45"/>
      <c r="F49" s="13"/>
    </row>
    <row r="50" spans="2:6" x14ac:dyDescent="0.2">
      <c r="B50" s="13"/>
      <c r="E50" s="45"/>
      <c r="F50" s="13"/>
    </row>
    <row r="51" spans="2:6" x14ac:dyDescent="0.2">
      <c r="B51" s="13"/>
      <c r="E51" s="45"/>
      <c r="F51" s="13"/>
    </row>
    <row r="52" spans="2:6" x14ac:dyDescent="0.2">
      <c r="B52" s="13"/>
      <c r="E52" s="45"/>
      <c r="F52" s="13"/>
    </row>
    <row r="53" spans="2:6" x14ac:dyDescent="0.2">
      <c r="B53" s="13"/>
      <c r="E53" s="45"/>
      <c r="F53" s="13"/>
    </row>
    <row r="54" spans="2:6" x14ac:dyDescent="0.2">
      <c r="B54" s="13"/>
      <c r="E54" s="45"/>
      <c r="F54" s="13"/>
    </row>
    <row r="55" spans="2:6" x14ac:dyDescent="0.2">
      <c r="B55" s="13"/>
      <c r="E55" s="45"/>
      <c r="F55" s="13"/>
    </row>
    <row r="56" spans="2:6" x14ac:dyDescent="0.2">
      <c r="B56" s="13"/>
      <c r="E56" s="45"/>
      <c r="F56" s="13"/>
    </row>
    <row r="57" spans="2:6" x14ac:dyDescent="0.2">
      <c r="B57" s="13"/>
      <c r="E57" s="45"/>
      <c r="F57" s="13"/>
    </row>
    <row r="58" spans="2:6" x14ac:dyDescent="0.2">
      <c r="B58" s="13"/>
      <c r="E58" s="45"/>
      <c r="F58" s="13"/>
    </row>
    <row r="59" spans="2:6" x14ac:dyDescent="0.2">
      <c r="B59" s="13"/>
      <c r="E59" s="45"/>
      <c r="F59" s="13"/>
    </row>
    <row r="60" spans="2:6" x14ac:dyDescent="0.2">
      <c r="B60" s="13"/>
      <c r="E60" s="45"/>
      <c r="F60" s="13"/>
    </row>
    <row r="61" spans="2:6" x14ac:dyDescent="0.2">
      <c r="B61" s="13"/>
      <c r="E61" s="45"/>
      <c r="F61" s="13"/>
    </row>
    <row r="62" spans="2:6" x14ac:dyDescent="0.2">
      <c r="B62" s="13"/>
      <c r="E62" s="45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</sheetData>
  <phoneticPr fontId="8" type="noConversion"/>
  <hyperlinks>
    <hyperlink ref="P11" r:id="rId1" display="http://www.bav-astro.de/sfs/BAVM_link.php?BAVMnr=186"/>
    <hyperlink ref="P12" r:id="rId2" display="http://www.bav-astro.de/sfs/BAVM_link.php?BAVMnr=214"/>
    <hyperlink ref="P13" r:id="rId3" display="http://www.bav-astro.de/sfs/BAVM_link.php?BAVMnr=220"/>
    <hyperlink ref="P16" r:id="rId4" display="http://www.konkoly.hu/cgi-bin/IBVS?6018"/>
    <hyperlink ref="P15" r:id="rId5" display="http://www.bav-astro.de/sfs/BAVM_link.php?BAVMnr=234"/>
    <hyperlink ref="P17" r:id="rId6" display="http://www.bav-astro.de/sfs/BAVM_link.php?BAVMnr=241"/>
    <hyperlink ref="P18" r:id="rId7" display="http://www.bav-astro.de/sfs/BAVM_link.php?BAVMnr=241"/>
    <hyperlink ref="P19" r:id="rId8" display="http://www.bav-astro.de/sfs/BAVM_link.php?BAVMnr=241"/>
    <hyperlink ref="P20" r:id="rId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2023-01-25T06:15:31Z</dcterms:modified>
</cp:coreProperties>
</file>