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CE5A99B3-D2A5-40FB-898C-14FD88103A43}" xr6:coauthVersionLast="47" xr6:coauthVersionMax="47" xr10:uidLastSave="{00000000-0000-0000-0000-000000000000}"/>
  <bookViews>
    <workbookView xWindow="14370" yWindow="480" windowWidth="12585" windowHeight="14295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40" i="1" l="1"/>
  <c r="F40" i="1" s="1"/>
  <c r="G40" i="1" s="1"/>
  <c r="K40" i="1" s="1"/>
  <c r="Q40" i="1"/>
  <c r="E41" i="1"/>
  <c r="F41" i="1"/>
  <c r="G41" i="1" s="1"/>
  <c r="K41" i="1" s="1"/>
  <c r="Q41" i="1"/>
  <c r="E42" i="1"/>
  <c r="F42" i="1" s="1"/>
  <c r="G42" i="1" s="1"/>
  <c r="K42" i="1" s="1"/>
  <c r="Q42" i="1"/>
  <c r="E43" i="1"/>
  <c r="F43" i="1" s="1"/>
  <c r="G43" i="1" s="1"/>
  <c r="K43" i="1" s="1"/>
  <c r="Q43" i="1"/>
  <c r="E44" i="1"/>
  <c r="F44" i="1" s="1"/>
  <c r="G44" i="1" s="1"/>
  <c r="K44" i="1" s="1"/>
  <c r="Q44" i="1"/>
  <c r="E45" i="1"/>
  <c r="F45" i="1"/>
  <c r="G45" i="1" s="1"/>
  <c r="K45" i="1" s="1"/>
  <c r="Q45" i="1"/>
  <c r="E46" i="1"/>
  <c r="F46" i="1" s="1"/>
  <c r="G46" i="1" s="1"/>
  <c r="K46" i="1" s="1"/>
  <c r="Q46" i="1"/>
  <c r="E47" i="1"/>
  <c r="F47" i="1" s="1"/>
  <c r="G47" i="1" s="1"/>
  <c r="K47" i="1" s="1"/>
  <c r="Q47" i="1"/>
  <c r="E48" i="1"/>
  <c r="F48" i="1" s="1"/>
  <c r="G48" i="1" s="1"/>
  <c r="K48" i="1" s="1"/>
  <c r="Q48" i="1"/>
  <c r="E49" i="1"/>
  <c r="F49" i="1"/>
  <c r="G49" i="1" s="1"/>
  <c r="K49" i="1" s="1"/>
  <c r="Q49" i="1"/>
  <c r="E50" i="1"/>
  <c r="F50" i="1" s="1"/>
  <c r="G50" i="1" s="1"/>
  <c r="K50" i="1" s="1"/>
  <c r="Q50" i="1"/>
  <c r="E51" i="1"/>
  <c r="F51" i="1" s="1"/>
  <c r="G51" i="1" s="1"/>
  <c r="K51" i="1" s="1"/>
  <c r="Q51" i="1"/>
  <c r="E52" i="1"/>
  <c r="F52" i="1" s="1"/>
  <c r="G52" i="1" s="1"/>
  <c r="K52" i="1" s="1"/>
  <c r="Q52" i="1"/>
  <c r="E53" i="1"/>
  <c r="F53" i="1"/>
  <c r="G53" i="1" s="1"/>
  <c r="K53" i="1" s="1"/>
  <c r="Q53" i="1"/>
  <c r="C7" i="1"/>
  <c r="C8" i="1"/>
  <c r="E23" i="1"/>
  <c r="F23" i="1"/>
  <c r="G23" i="1"/>
  <c r="I23" i="1"/>
  <c r="C9" i="1"/>
  <c r="D9" i="1"/>
  <c r="F16" i="1"/>
  <c r="F17" i="1" s="1"/>
  <c r="C17" i="1"/>
  <c r="Q21" i="1"/>
  <c r="Q22" i="1"/>
  <c r="Q23" i="1"/>
  <c r="E24" i="1"/>
  <c r="F24" i="1"/>
  <c r="G24" i="1"/>
  <c r="I24" i="1"/>
  <c r="Q24" i="1"/>
  <c r="Q25" i="1"/>
  <c r="Q26" i="1"/>
  <c r="Q27" i="1"/>
  <c r="E28" i="1"/>
  <c r="F28" i="1"/>
  <c r="G28" i="1"/>
  <c r="I28" i="1"/>
  <c r="Q28" i="1"/>
  <c r="Q29" i="1"/>
  <c r="Q30" i="1"/>
  <c r="Q31" i="1"/>
  <c r="E32" i="1"/>
  <c r="F32" i="1"/>
  <c r="G32" i="1"/>
  <c r="I32" i="1"/>
  <c r="Q32" i="1"/>
  <c r="Q33" i="1"/>
  <c r="Q34" i="1"/>
  <c r="Q35" i="1"/>
  <c r="E36" i="1"/>
  <c r="F36" i="1"/>
  <c r="G36" i="1"/>
  <c r="K36" i="1"/>
  <c r="Q36" i="1"/>
  <c r="Q37" i="1"/>
  <c r="Q38" i="1"/>
  <c r="Q39" i="1"/>
  <c r="A11" i="2"/>
  <c r="B11" i="2"/>
  <c r="D11" i="2"/>
  <c r="G11" i="2"/>
  <c r="C11" i="2"/>
  <c r="H11" i="2"/>
  <c r="A12" i="2"/>
  <c r="B12" i="2"/>
  <c r="C12" i="2"/>
  <c r="E12" i="2"/>
  <c r="D12" i="2"/>
  <c r="G12" i="2"/>
  <c r="H12" i="2"/>
  <c r="A13" i="2"/>
  <c r="C13" i="2"/>
  <c r="D13" i="2"/>
  <c r="G13" i="2"/>
  <c r="H13" i="2"/>
  <c r="B13" i="2"/>
  <c r="A14" i="2"/>
  <c r="B14" i="2"/>
  <c r="D14" i="2"/>
  <c r="G14" i="2"/>
  <c r="C14" i="2"/>
  <c r="H14" i="2"/>
  <c r="A15" i="2"/>
  <c r="D15" i="2"/>
  <c r="G15" i="2"/>
  <c r="C15" i="2"/>
  <c r="H15" i="2"/>
  <c r="B15" i="2"/>
  <c r="A16" i="2"/>
  <c r="D16" i="2"/>
  <c r="G16" i="2"/>
  <c r="C16" i="2"/>
  <c r="H16" i="2"/>
  <c r="B16" i="2"/>
  <c r="A17" i="2"/>
  <c r="C17" i="2"/>
  <c r="E17" i="2"/>
  <c r="D17" i="2"/>
  <c r="G17" i="2"/>
  <c r="H17" i="2"/>
  <c r="B17" i="2"/>
  <c r="A18" i="2"/>
  <c r="D18" i="2"/>
  <c r="G18" i="2"/>
  <c r="C18" i="2"/>
  <c r="H18" i="2"/>
  <c r="B18" i="2"/>
  <c r="A19" i="2"/>
  <c r="B19" i="2"/>
  <c r="D19" i="2"/>
  <c r="G19" i="2"/>
  <c r="C19" i="2"/>
  <c r="E19" i="2"/>
  <c r="H19" i="2"/>
  <c r="A20" i="2"/>
  <c r="B20" i="2"/>
  <c r="C20" i="2"/>
  <c r="D20" i="2"/>
  <c r="G20" i="2"/>
  <c r="H20" i="2"/>
  <c r="A21" i="2"/>
  <c r="C21" i="2"/>
  <c r="D21" i="2"/>
  <c r="G21" i="2"/>
  <c r="H21" i="2"/>
  <c r="B21" i="2"/>
  <c r="A22" i="2"/>
  <c r="B22" i="2"/>
  <c r="D22" i="2"/>
  <c r="G22" i="2"/>
  <c r="C22" i="2"/>
  <c r="H22" i="2"/>
  <c r="A23" i="2"/>
  <c r="D23" i="2"/>
  <c r="G23" i="2"/>
  <c r="C23" i="2"/>
  <c r="H23" i="2"/>
  <c r="B23" i="2"/>
  <c r="E23" i="2"/>
  <c r="E18" i="2"/>
  <c r="E11" i="2"/>
  <c r="E16" i="2"/>
  <c r="E14" i="2"/>
  <c r="E37" i="1"/>
  <c r="F37" i="1"/>
  <c r="G37" i="1"/>
  <c r="K37" i="1"/>
  <c r="E33" i="1"/>
  <c r="F33" i="1"/>
  <c r="G33" i="1"/>
  <c r="I33" i="1"/>
  <c r="E29" i="1"/>
  <c r="F29" i="1"/>
  <c r="G29" i="1"/>
  <c r="I29" i="1"/>
  <c r="E25" i="1"/>
  <c r="F25" i="1"/>
  <c r="G25" i="1"/>
  <c r="I25" i="1"/>
  <c r="E21" i="1"/>
  <c r="F21" i="1"/>
  <c r="G21" i="1"/>
  <c r="H21" i="1"/>
  <c r="E38" i="1"/>
  <c r="F38" i="1"/>
  <c r="G38" i="1"/>
  <c r="K38" i="1"/>
  <c r="E34" i="1"/>
  <c r="F34" i="1"/>
  <c r="G34" i="1"/>
  <c r="K34" i="1"/>
  <c r="E30" i="1"/>
  <c r="F30" i="1"/>
  <c r="G30" i="1"/>
  <c r="I30" i="1"/>
  <c r="E26" i="1"/>
  <c r="F26" i="1"/>
  <c r="G26" i="1"/>
  <c r="E22" i="1"/>
  <c r="F22" i="1"/>
  <c r="G22" i="1"/>
  <c r="I22" i="1"/>
  <c r="E39" i="1"/>
  <c r="F39" i="1"/>
  <c r="G39" i="1"/>
  <c r="K39" i="1"/>
  <c r="E35" i="1"/>
  <c r="F35" i="1"/>
  <c r="G35" i="1"/>
  <c r="K35" i="1"/>
  <c r="E31" i="1"/>
  <c r="F31" i="1"/>
  <c r="G31" i="1"/>
  <c r="I31" i="1"/>
  <c r="E27" i="1"/>
  <c r="F27" i="1"/>
  <c r="G27" i="1"/>
  <c r="I27" i="1"/>
  <c r="E22" i="2"/>
  <c r="E21" i="2"/>
  <c r="E20" i="2"/>
  <c r="E15" i="2"/>
  <c r="I26" i="1"/>
  <c r="E13" i="2"/>
  <c r="C11" i="1"/>
  <c r="C12" i="1"/>
  <c r="O42" i="1" l="1"/>
  <c r="O46" i="1"/>
  <c r="O50" i="1"/>
  <c r="O44" i="1"/>
  <c r="O41" i="1"/>
  <c r="O45" i="1"/>
  <c r="O49" i="1"/>
  <c r="O53" i="1"/>
  <c r="O52" i="1"/>
  <c r="O40" i="1"/>
  <c r="O48" i="1"/>
  <c r="O43" i="1"/>
  <c r="O47" i="1"/>
  <c r="O51" i="1"/>
  <c r="C16" i="1"/>
  <c r="D18" i="1" s="1"/>
  <c r="O26" i="1"/>
  <c r="O38" i="1"/>
  <c r="O31" i="1"/>
  <c r="O30" i="1"/>
  <c r="O24" i="1"/>
  <c r="O35" i="1"/>
  <c r="O34" i="1"/>
  <c r="O28" i="1"/>
  <c r="O39" i="1"/>
  <c r="O37" i="1"/>
  <c r="O21" i="1"/>
  <c r="O32" i="1"/>
  <c r="O25" i="1"/>
  <c r="O36" i="1"/>
  <c r="O27" i="1"/>
  <c r="O29" i="1"/>
  <c r="C15" i="1"/>
  <c r="F18" i="1" s="1"/>
  <c r="O22" i="1"/>
  <c r="O33" i="1"/>
  <c r="O23" i="1"/>
  <c r="C18" i="1" l="1"/>
  <c r="F19" i="1"/>
</calcChain>
</file>

<file path=xl/sharedStrings.xml><?xml version="1.0" encoding="utf-8"?>
<sst xmlns="http://schemas.openxmlformats.org/spreadsheetml/2006/main" count="248" uniqueCount="135">
  <si>
    <t>BD Vir / GSC 06120-00032</t>
  </si>
  <si>
    <t>System Type:</t>
  </si>
  <si>
    <t>EA/SD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</si>
  <si>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</si>
  <si>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</si>
  <si>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</si>
  <si>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</si>
  <si>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</si>
  <si>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</si>
  <si>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</si>
  <si>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</si>
  <si>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</si>
  <si>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</si>
  <si>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</si>
  <si>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</si>
  <si>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</si>
  <si>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</si>
  <si>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</si>
  <si>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</si>
  <si>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</si>
  <si>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</si>
  <si>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</si>
  <si>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</si>
  <si>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</si>
  <si>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</si>
  <si>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</si>
  <si>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</si>
  <si>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</si>
  <si>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</si>
  <si>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</si>
  <si>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</si>
  <si>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</si>
  <si>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</si>
  <si>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</si>
  <si>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</si>
  <si>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</si>
  <si>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S4</t>
  </si>
  <si>
    <t>S5</t>
  </si>
  <si>
    <t>Misc</t>
  </si>
  <si>
    <t>Lin Fit</t>
  </si>
  <si>
    <t>Q. Fit</t>
  </si>
  <si>
    <t>Date</t>
  </si>
  <si>
    <t> IODE 4.3.72 </t>
  </si>
  <si>
    <t>I</t>
  </si>
  <si>
    <t>IBVS 0046</t>
  </si>
  <si>
    <t>BBSAG Bull.2</t>
  </si>
  <si>
    <t>v</t>
  </si>
  <si>
    <t>Locher K</t>
  </si>
  <si>
    <t>B</t>
  </si>
  <si>
    <t>BBSAG Bull.15</t>
  </si>
  <si>
    <t>BBSAG Bull.22</t>
  </si>
  <si>
    <t>GCVS 4</t>
  </si>
  <si>
    <t>ASTR. REP. 4</t>
  </si>
  <si>
    <t>H.KORPIKIEWICZ</t>
  </si>
  <si>
    <t>K</t>
  </si>
  <si>
    <t>BBSAG Bull.60</t>
  </si>
  <si>
    <t>:</t>
  </si>
  <si>
    <t>BBSAG Bull.66</t>
  </si>
  <si>
    <t>BBSAG Bull.71</t>
  </si>
  <si>
    <t>BBSAG Bull.83</t>
  </si>
  <si>
    <t>Paschke A</t>
  </si>
  <si>
    <t>BBSAG Bull.116</t>
  </si>
  <si>
    <t>ccd</t>
  </si>
  <si>
    <t>VSB 48 </t>
  </si>
  <si>
    <t>VSB 50 </t>
  </si>
  <si>
    <t>IBVS 5992</t>
  </si>
  <si>
    <t>OEJV 0191</t>
  </si>
  <si>
    <t>JAVSO..46..184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</si>
  <si>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</si>
  <si>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</si>
  <si>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</si>
  <si>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</si>
  <si>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</si>
  <si>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</si>
  <si>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</si>
  <si>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2441391.548 </t>
  </si>
  <si>
    <t> 15.03.1972 01:09 </t>
  </si>
  <si>
    <t> -0.023 </t>
  </si>
  <si>
    <t>V </t>
  </si>
  <si>
    <t> K.Locher </t>
  </si>
  <si>
    <t> BBS 2 </t>
  </si>
  <si>
    <t>2442148.465 </t>
  </si>
  <si>
    <t> 10.04.1974 23:09 </t>
  </si>
  <si>
    <t> -0.022 </t>
  </si>
  <si>
    <t> BBS 15 </t>
  </si>
  <si>
    <t>2442538.411 </t>
  </si>
  <si>
    <t> 05.05.1975 21:51 </t>
  </si>
  <si>
    <t> -0.002 </t>
  </si>
  <si>
    <t> BBS 22 </t>
  </si>
  <si>
    <t>2445079.336 </t>
  </si>
  <si>
    <t> 19.04.1982 20:03 </t>
  </si>
  <si>
    <t> 0.032 </t>
  </si>
  <si>
    <t> BBS 60 </t>
  </si>
  <si>
    <t>2445474.355 </t>
  </si>
  <si>
    <t> 19.05.1983 20:31 </t>
  </si>
  <si>
    <t> 0.027 </t>
  </si>
  <si>
    <t> BBS 66 </t>
  </si>
  <si>
    <t>2445749.557 </t>
  </si>
  <si>
    <t> 19.02.1984 01:22 </t>
  </si>
  <si>
    <t> -0.013 </t>
  </si>
  <si>
    <t> BBS 71 </t>
  </si>
  <si>
    <t>2446924.473 </t>
  </si>
  <si>
    <t> 08.05.1987 23:21 </t>
  </si>
  <si>
    <t> 0.028 </t>
  </si>
  <si>
    <t> A.Paschke </t>
  </si>
  <si>
    <t> BBS 83 </t>
  </si>
  <si>
    <t>2450571.496 </t>
  </si>
  <si>
    <t> 02.05.1997 23:54 </t>
  </si>
  <si>
    <t> 0.094 </t>
  </si>
  <si>
    <t>E </t>
  </si>
  <si>
    <t>?</t>
  </si>
  <si>
    <t> BBS 116 </t>
  </si>
  <si>
    <t>2455632.9572 </t>
  </si>
  <si>
    <t> 12.03.2011 10:58 </t>
  </si>
  <si>
    <t> 0.1611 </t>
  </si>
  <si>
    <t>C </t>
  </si>
  <si>
    <t> R.Diethelm </t>
  </si>
  <si>
    <t>IBVS 5992 </t>
  </si>
  <si>
    <t>2455673.7315 </t>
  </si>
  <si>
    <t> 22.04.2011 05:33 </t>
  </si>
  <si>
    <t> 0.1588 </t>
  </si>
  <si>
    <t>2431261.196 </t>
  </si>
  <si>
    <t> 19.06.1944 16:42 </t>
  </si>
  <si>
    <t> 0.059 </t>
  </si>
  <si>
    <t> V.Zessewitsch </t>
  </si>
  <si>
    <t>2454593.1354 </t>
  </si>
  <si>
    <t> 06.05.2008 15:14 </t>
  </si>
  <si>
    <t> 0.1424 </t>
  </si>
  <si>
    <t>Ic</t>
  </si>
  <si>
    <t> K.Nakajima </t>
  </si>
  <si>
    <t>2454863.2867 </t>
  </si>
  <si>
    <t> 31.01.2009 18:52 </t>
  </si>
  <si>
    <t> 0.1488 </t>
  </si>
  <si>
    <t>VSB, 91</t>
  </si>
  <si>
    <t>JBAV, 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</si>
</sst>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$#,##0_);&quot;($&quot;#,##0\)"/>
    <numFmt numFmtId="165" formatCode="m/d/yyyy\ h:mm"/>
    <numFmt numFmtId="168" formatCode="d/mm/yyyy;@"/>
    <numFmt numFmtId="169" formatCode="0.00000"/>
  </numFmts>
  <fonts count="15">
    <font>
      <sz val="10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sz val="10"/>
      <name val="Arial Unicode MS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7">
    <xf numFmtId="0" fontId="0" fillId="0" borderId="0">
      <alignment vertical="top"/>
    </xf>
    <xf numFmtId="3" fontId="13" fillId="0" borderId="0" applyFill="0" applyBorder="0" applyProtection="0">
      <alignment vertical="top"/>
    </xf>
    <xf numFmtId="164" fontId="13" fillId="0" borderId="0" applyFill="0" applyBorder="0" applyProtection="0">
      <alignment vertical="top"/>
    </xf>
    <xf numFmtId="0" fontId="13" fillId="0" borderId="0" applyFill="0" applyBorder="0" applyProtection="0">
      <alignment vertical="top"/>
    </xf>
    <xf numFmtId="2" fontId="13" fillId="0" borderId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3" fillId="0" borderId="0"/>
  </cellStyleXfs>
  <cellXfs count="55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1" xfId="0" applyFont="1" applyBorder="1" applyAlignment="1">
      <alignment horizontal="left"/>
    </xf>
    <xf numFmtId="0" fontId="3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>
      <alignment vertical="top"/>
    </xf>
    <xf numFmtId="0" fontId="5" fillId="0" borderId="0" xfId="0" applyFont="1">
      <alignment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4" xfId="0" applyFont="1" applyBorder="1" applyAlignment="1">
      <alignment horizontal="center"/>
    </xf>
    <xf numFmtId="0" fontId="7" fillId="0" borderId="0" xfId="0" applyFont="1">
      <alignment vertical="top"/>
    </xf>
    <xf numFmtId="0" fontId="0" fillId="0" borderId="0" xfId="0" applyAlignment="1">
      <alignment horizontal="center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6" fillId="0" borderId="0" xfId="0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7" fillId="0" borderId="0" xfId="0" applyNumberFormat="1" applyFont="1">
      <alignment vertical="top"/>
    </xf>
    <xf numFmtId="0" fontId="3" fillId="0" borderId="4" xfId="0" applyFont="1" applyBorder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0" borderId="0" xfId="6" applyFont="1" applyAlignment="1">
      <alignment horizontal="left"/>
    </xf>
    <xf numFmtId="0" fontId="7" fillId="0" borderId="0" xfId="6" applyFont="1" applyAlignment="1">
      <alignment horizontal="center"/>
    </xf>
    <xf numFmtId="0" fontId="10" fillId="0" borderId="0" xfId="6" applyFont="1" applyAlignment="1">
      <alignment horizontal="left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6" xfId="0" applyFont="1" applyBorder="1">
      <alignment vertical="top"/>
    </xf>
    <xf numFmtId="0" fontId="0" fillId="0" borderId="7" xfId="0" applyFont="1" applyBorder="1" applyAlignment="1">
      <alignment horizontal="center"/>
    </xf>
    <xf numFmtId="0" fontId="0" fillId="0" borderId="8" xfId="0" applyFont="1" applyBorder="1">
      <alignment vertical="top"/>
    </xf>
    <xf numFmtId="0" fontId="12" fillId="0" borderId="0" xfId="5" applyNumberFormat="1" applyFont="1" applyFill="1" applyBorder="1" applyAlignment="1" applyProtection="1">
      <alignment horizontal="left"/>
    </xf>
    <xf numFmtId="0" fontId="0" fillId="0" borderId="9" xfId="0" applyFont="1" applyBorder="1" applyAlignment="1">
      <alignment horizontal="center"/>
    </xf>
    <xf numFmtId="0" fontId="0" fillId="0" borderId="10" xfId="0" applyFont="1" applyBorder="1">
      <alignment vertical="top"/>
    </xf>
    <xf numFmtId="0" fontId="2" fillId="2" borderId="11" xfId="0" applyFont="1" applyFill="1" applyBorder="1" applyAlignment="1">
      <alignment horizontal="left" vertical="top" wrapText="1" indent="1"/>
    </xf>
    <xf numFmtId="0" fontId="2" fillId="2" borderId="1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right" vertical="top" wrapText="1"/>
    </xf>
    <xf numFmtId="0" fontId="12" fillId="2" borderId="11" xfId="5" applyNumberFormat="1" applyFont="1" applyFill="1" applyBorder="1" applyAlignment="1" applyProtection="1">
      <alignment horizontal="right" vertical="top" wrapText="1"/>
    </xf>
    <xf numFmtId="168" fontId="0" fillId="0" borderId="0" xfId="0" applyNumberFormat="1" applyAlignment="1"/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169" fontId="14" fillId="0" borderId="0" xfId="0" applyNumberFormat="1" applyFont="1" applyAlignment="1">
      <alignment vertical="center" wrapText="1"/>
    </xf>
  </cellXfs>
  <cellStyles count="7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_1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BD Vir - O-C Diagr.</a:t>
            </a:r>
          </a:p>
        </c:rich>
      </c:tx>
      <c:layout>
        <c:manualLayout>
          <c:xMode val="edge"/>
          <c:yMode val="edge"/>
          <c:x val="0.35316024158690201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71018394061479"/>
          <c:y val="0.23584978088695488"/>
          <c:w val="0.78252859125286001"/>
          <c:h val="0.53773750042225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Active!$F$21:$F$39</c:f>
              <c:numCache>
                <c:formatCode>General</c:formatCode>
                <c:ptCount val="19"/>
                <c:pt idx="0">
                  <c:v>-4425</c:v>
                </c:pt>
                <c:pt idx="1">
                  <c:v>-1602</c:v>
                </c:pt>
                <c:pt idx="2">
                  <c:v>-450</c:v>
                </c:pt>
                <c:pt idx="3">
                  <c:v>-153</c:v>
                </c:pt>
                <c:pt idx="4">
                  <c:v>0</c:v>
                </c:pt>
                <c:pt idx="5">
                  <c:v>0</c:v>
                </c:pt>
                <c:pt idx="6">
                  <c:v>139</c:v>
                </c:pt>
                <c:pt idx="7">
                  <c:v>144</c:v>
                </c:pt>
                <c:pt idx="8">
                  <c:v>997</c:v>
                </c:pt>
                <c:pt idx="9">
                  <c:v>1152</c:v>
                </c:pt>
                <c:pt idx="10">
                  <c:v>1260</c:v>
                </c:pt>
                <c:pt idx="11">
                  <c:v>1721</c:v>
                </c:pt>
                <c:pt idx="12">
                  <c:v>3152</c:v>
                </c:pt>
                <c:pt idx="13">
                  <c:v>4730</c:v>
                </c:pt>
                <c:pt idx="14">
                  <c:v>4836</c:v>
                </c:pt>
                <c:pt idx="15">
                  <c:v>5138</c:v>
                </c:pt>
                <c:pt idx="16">
                  <c:v>5154</c:v>
                </c:pt>
                <c:pt idx="17">
                  <c:v>6025</c:v>
                </c:pt>
                <c:pt idx="18">
                  <c:v>6173</c:v>
                </c:pt>
              </c:numCache>
            </c:numRef>
          </c:xVal>
          <c:yVal>
            <c:numRef>
              <c:f>Active!$H$21:$H$39</c:f>
              <c:numCache>
                <c:formatCode>General</c:formatCode>
                <c:ptCount val="19"/>
                <c:pt idx="0">
                  <c:v>5.9225000000878936E-2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A3-4A16-B255-CB5D04384EB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Active!$F$21:$F$39</c:f>
              <c:numCache>
                <c:formatCode>General</c:formatCode>
                <c:ptCount val="19"/>
                <c:pt idx="0">
                  <c:v>-4425</c:v>
                </c:pt>
                <c:pt idx="1">
                  <c:v>-1602</c:v>
                </c:pt>
                <c:pt idx="2">
                  <c:v>-450</c:v>
                </c:pt>
                <c:pt idx="3">
                  <c:v>-153</c:v>
                </c:pt>
                <c:pt idx="4">
                  <c:v>0</c:v>
                </c:pt>
                <c:pt idx="5">
                  <c:v>0</c:v>
                </c:pt>
                <c:pt idx="6">
                  <c:v>139</c:v>
                </c:pt>
                <c:pt idx="7">
                  <c:v>144</c:v>
                </c:pt>
                <c:pt idx="8">
                  <c:v>997</c:v>
                </c:pt>
                <c:pt idx="9">
                  <c:v>1152</c:v>
                </c:pt>
                <c:pt idx="10">
                  <c:v>1260</c:v>
                </c:pt>
                <c:pt idx="11">
                  <c:v>1721</c:v>
                </c:pt>
                <c:pt idx="12">
                  <c:v>3152</c:v>
                </c:pt>
                <c:pt idx="13">
                  <c:v>4730</c:v>
                </c:pt>
                <c:pt idx="14">
                  <c:v>4836</c:v>
                </c:pt>
                <c:pt idx="15">
                  <c:v>5138</c:v>
                </c:pt>
                <c:pt idx="16">
                  <c:v>5154</c:v>
                </c:pt>
                <c:pt idx="17">
                  <c:v>6025</c:v>
                </c:pt>
                <c:pt idx="18">
                  <c:v>6173</c:v>
                </c:pt>
              </c:numCache>
            </c:numRef>
          </c:xVal>
          <c:yVal>
            <c:numRef>
              <c:f>Active!$I$21:$I$39</c:f>
              <c:numCache>
                <c:formatCode>General</c:formatCode>
                <c:ptCount val="19"/>
                <c:pt idx="1">
                  <c:v>2.3273999999219086E-2</c:v>
                </c:pt>
                <c:pt idx="2">
                  <c:v>-2.3349999995843973E-2</c:v>
                </c:pt>
                <c:pt idx="3">
                  <c:v>-2.1839000000909436E-2</c:v>
                </c:pt>
                <c:pt idx="4">
                  <c:v>-2.0000000004074536E-3</c:v>
                </c:pt>
                <c:pt idx="5">
                  <c:v>0</c:v>
                </c:pt>
                <c:pt idx="6">
                  <c:v>-4.5642999997653533E-2</c:v>
                </c:pt>
                <c:pt idx="7">
                  <c:v>-3.7328000005800277E-2</c:v>
                </c:pt>
                <c:pt idx="8">
                  <c:v>3.1611000005796086E-2</c:v>
                </c:pt>
                <c:pt idx="9">
                  <c:v>2.737600000546081E-2</c:v>
                </c:pt>
                <c:pt idx="10">
                  <c:v>-1.262000000133412E-2</c:v>
                </c:pt>
                <c:pt idx="11">
                  <c:v>2.7822999996715225E-2</c:v>
                </c:pt>
                <c:pt idx="12">
                  <c:v>9.4376000000920612E-2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3A3-4A16-B255-CB5D04384EBC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Active!$F$21:$F$39</c:f>
              <c:numCache>
                <c:formatCode>General</c:formatCode>
                <c:ptCount val="19"/>
                <c:pt idx="0">
                  <c:v>-4425</c:v>
                </c:pt>
                <c:pt idx="1">
                  <c:v>-1602</c:v>
                </c:pt>
                <c:pt idx="2">
                  <c:v>-450</c:v>
                </c:pt>
                <c:pt idx="3">
                  <c:v>-153</c:v>
                </c:pt>
                <c:pt idx="4">
                  <c:v>0</c:v>
                </c:pt>
                <c:pt idx="5">
                  <c:v>0</c:v>
                </c:pt>
                <c:pt idx="6">
                  <c:v>139</c:v>
                </c:pt>
                <c:pt idx="7">
                  <c:v>144</c:v>
                </c:pt>
                <c:pt idx="8">
                  <c:v>997</c:v>
                </c:pt>
                <c:pt idx="9">
                  <c:v>1152</c:v>
                </c:pt>
                <c:pt idx="10">
                  <c:v>1260</c:v>
                </c:pt>
                <c:pt idx="11">
                  <c:v>1721</c:v>
                </c:pt>
                <c:pt idx="12">
                  <c:v>3152</c:v>
                </c:pt>
                <c:pt idx="13">
                  <c:v>4730</c:v>
                </c:pt>
                <c:pt idx="14">
                  <c:v>4836</c:v>
                </c:pt>
                <c:pt idx="15">
                  <c:v>5138</c:v>
                </c:pt>
                <c:pt idx="16">
                  <c:v>5154</c:v>
                </c:pt>
                <c:pt idx="17">
                  <c:v>6025</c:v>
                </c:pt>
                <c:pt idx="18">
                  <c:v>6173</c:v>
                </c:pt>
              </c:numCache>
            </c:numRef>
          </c:xVal>
          <c:yVal>
            <c:numRef>
              <c:f>Active!$J$21:$J$39</c:f>
              <c:numCache>
                <c:formatCode>General</c:formatCode>
                <c:ptCount val="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3A3-4A16-B255-CB5D04384EBC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Active!$F$21:$F$39</c:f>
              <c:numCache>
                <c:formatCode>General</c:formatCode>
                <c:ptCount val="19"/>
                <c:pt idx="0">
                  <c:v>-4425</c:v>
                </c:pt>
                <c:pt idx="1">
                  <c:v>-1602</c:v>
                </c:pt>
                <c:pt idx="2">
                  <c:v>-450</c:v>
                </c:pt>
                <c:pt idx="3">
                  <c:v>-153</c:v>
                </c:pt>
                <c:pt idx="4">
                  <c:v>0</c:v>
                </c:pt>
                <c:pt idx="5">
                  <c:v>0</c:v>
                </c:pt>
                <c:pt idx="6">
                  <c:v>139</c:v>
                </c:pt>
                <c:pt idx="7">
                  <c:v>144</c:v>
                </c:pt>
                <c:pt idx="8">
                  <c:v>997</c:v>
                </c:pt>
                <c:pt idx="9">
                  <c:v>1152</c:v>
                </c:pt>
                <c:pt idx="10">
                  <c:v>1260</c:v>
                </c:pt>
                <c:pt idx="11">
                  <c:v>1721</c:v>
                </c:pt>
                <c:pt idx="12">
                  <c:v>3152</c:v>
                </c:pt>
                <c:pt idx="13">
                  <c:v>4730</c:v>
                </c:pt>
                <c:pt idx="14">
                  <c:v>4836</c:v>
                </c:pt>
                <c:pt idx="15">
                  <c:v>5138</c:v>
                </c:pt>
                <c:pt idx="16">
                  <c:v>5154</c:v>
                </c:pt>
                <c:pt idx="17">
                  <c:v>6025</c:v>
                </c:pt>
                <c:pt idx="18">
                  <c:v>6173</c:v>
                </c:pt>
              </c:numCache>
            </c:numRef>
          </c:xVal>
          <c:yVal>
            <c:numRef>
              <c:f>Active!$K$21:$K$39</c:f>
              <c:numCache>
                <c:formatCode>General</c:formatCode>
                <c:ptCount val="19"/>
                <c:pt idx="13">
                  <c:v>0.14239000000088708</c:v>
                </c:pt>
                <c:pt idx="14">
                  <c:v>0.14876799999910872</c:v>
                </c:pt>
                <c:pt idx="15">
                  <c:v>0.16109399999550078</c:v>
                </c:pt>
                <c:pt idx="16">
                  <c:v>0.15880199999810429</c:v>
                </c:pt>
                <c:pt idx="17">
                  <c:v>0.1825749999989057</c:v>
                </c:pt>
                <c:pt idx="18">
                  <c:v>0.1829989999969257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3A3-4A16-B255-CB5D04384EBC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Active!$F$21:$F$39</c:f>
              <c:numCache>
                <c:formatCode>General</c:formatCode>
                <c:ptCount val="19"/>
                <c:pt idx="0">
                  <c:v>-4425</c:v>
                </c:pt>
                <c:pt idx="1">
                  <c:v>-1602</c:v>
                </c:pt>
                <c:pt idx="2">
                  <c:v>-450</c:v>
                </c:pt>
                <c:pt idx="3">
                  <c:v>-153</c:v>
                </c:pt>
                <c:pt idx="4">
                  <c:v>0</c:v>
                </c:pt>
                <c:pt idx="5">
                  <c:v>0</c:v>
                </c:pt>
                <c:pt idx="6">
                  <c:v>139</c:v>
                </c:pt>
                <c:pt idx="7">
                  <c:v>144</c:v>
                </c:pt>
                <c:pt idx="8">
                  <c:v>997</c:v>
                </c:pt>
                <c:pt idx="9">
                  <c:v>1152</c:v>
                </c:pt>
                <c:pt idx="10">
                  <c:v>1260</c:v>
                </c:pt>
                <c:pt idx="11">
                  <c:v>1721</c:v>
                </c:pt>
                <c:pt idx="12">
                  <c:v>3152</c:v>
                </c:pt>
                <c:pt idx="13">
                  <c:v>4730</c:v>
                </c:pt>
                <c:pt idx="14">
                  <c:v>4836</c:v>
                </c:pt>
                <c:pt idx="15">
                  <c:v>5138</c:v>
                </c:pt>
                <c:pt idx="16">
                  <c:v>5154</c:v>
                </c:pt>
                <c:pt idx="17">
                  <c:v>6025</c:v>
                </c:pt>
                <c:pt idx="18">
                  <c:v>6173</c:v>
                </c:pt>
              </c:numCache>
            </c:numRef>
          </c:xVal>
          <c:yVal>
            <c:numRef>
              <c:f>Active!$L$21:$L$39</c:f>
              <c:numCache>
                <c:formatCode>General</c:formatCode>
                <c:ptCount val="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3A3-4A16-B255-CB5D04384EB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Active!$F$21:$F$39</c:f>
              <c:numCache>
                <c:formatCode>General</c:formatCode>
                <c:ptCount val="19"/>
                <c:pt idx="0">
                  <c:v>-4425</c:v>
                </c:pt>
                <c:pt idx="1">
                  <c:v>-1602</c:v>
                </c:pt>
                <c:pt idx="2">
                  <c:v>-450</c:v>
                </c:pt>
                <c:pt idx="3">
                  <c:v>-153</c:v>
                </c:pt>
                <c:pt idx="4">
                  <c:v>0</c:v>
                </c:pt>
                <c:pt idx="5">
                  <c:v>0</c:v>
                </c:pt>
                <c:pt idx="6">
                  <c:v>139</c:v>
                </c:pt>
                <c:pt idx="7">
                  <c:v>144</c:v>
                </c:pt>
                <c:pt idx="8">
                  <c:v>997</c:v>
                </c:pt>
                <c:pt idx="9">
                  <c:v>1152</c:v>
                </c:pt>
                <c:pt idx="10">
                  <c:v>1260</c:v>
                </c:pt>
                <c:pt idx="11">
                  <c:v>1721</c:v>
                </c:pt>
                <c:pt idx="12">
                  <c:v>3152</c:v>
                </c:pt>
                <c:pt idx="13">
                  <c:v>4730</c:v>
                </c:pt>
                <c:pt idx="14">
                  <c:v>4836</c:v>
                </c:pt>
                <c:pt idx="15">
                  <c:v>5138</c:v>
                </c:pt>
                <c:pt idx="16">
                  <c:v>5154</c:v>
                </c:pt>
                <c:pt idx="17">
                  <c:v>6025</c:v>
                </c:pt>
                <c:pt idx="18">
                  <c:v>6173</c:v>
                </c:pt>
              </c:numCache>
            </c:numRef>
          </c:xVal>
          <c:yVal>
            <c:numRef>
              <c:f>Active!$M$21:$M$39</c:f>
              <c:numCache>
                <c:formatCode>General</c:formatCode>
                <c:ptCount val="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3A3-4A16-B255-CB5D04384EB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Active!$F$21:$F$39</c:f>
              <c:numCache>
                <c:formatCode>General</c:formatCode>
                <c:ptCount val="19"/>
                <c:pt idx="0">
                  <c:v>-4425</c:v>
                </c:pt>
                <c:pt idx="1">
                  <c:v>-1602</c:v>
                </c:pt>
                <c:pt idx="2">
                  <c:v>-450</c:v>
                </c:pt>
                <c:pt idx="3">
                  <c:v>-153</c:v>
                </c:pt>
                <c:pt idx="4">
                  <c:v>0</c:v>
                </c:pt>
                <c:pt idx="5">
                  <c:v>0</c:v>
                </c:pt>
                <c:pt idx="6">
                  <c:v>139</c:v>
                </c:pt>
                <c:pt idx="7">
                  <c:v>144</c:v>
                </c:pt>
                <c:pt idx="8">
                  <c:v>997</c:v>
                </c:pt>
                <c:pt idx="9">
                  <c:v>1152</c:v>
                </c:pt>
                <c:pt idx="10">
                  <c:v>1260</c:v>
                </c:pt>
                <c:pt idx="11">
                  <c:v>1721</c:v>
                </c:pt>
                <c:pt idx="12">
                  <c:v>3152</c:v>
                </c:pt>
                <c:pt idx="13">
                  <c:v>4730</c:v>
                </c:pt>
                <c:pt idx="14">
                  <c:v>4836</c:v>
                </c:pt>
                <c:pt idx="15">
                  <c:v>5138</c:v>
                </c:pt>
                <c:pt idx="16">
                  <c:v>5154</c:v>
                </c:pt>
                <c:pt idx="17">
                  <c:v>6025</c:v>
                </c:pt>
                <c:pt idx="18">
                  <c:v>6173</c:v>
                </c:pt>
              </c:numCache>
            </c:numRef>
          </c:xVal>
          <c:yVal>
            <c:numRef>
              <c:f>Active!$N$21:$N$39</c:f>
              <c:numCache>
                <c:formatCode>General</c:formatCode>
                <c:ptCount val="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3A3-4A16-B255-CB5D04384EB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Active!$F$21:$F$39</c:f>
              <c:numCache>
                <c:formatCode>General</c:formatCode>
                <c:ptCount val="19"/>
                <c:pt idx="0">
                  <c:v>-4425</c:v>
                </c:pt>
                <c:pt idx="1">
                  <c:v>-1602</c:v>
                </c:pt>
                <c:pt idx="2">
                  <c:v>-450</c:v>
                </c:pt>
                <c:pt idx="3">
                  <c:v>-153</c:v>
                </c:pt>
                <c:pt idx="4">
                  <c:v>0</c:v>
                </c:pt>
                <c:pt idx="5">
                  <c:v>0</c:v>
                </c:pt>
                <c:pt idx="6">
                  <c:v>139</c:v>
                </c:pt>
                <c:pt idx="7">
                  <c:v>144</c:v>
                </c:pt>
                <c:pt idx="8">
                  <c:v>997</c:v>
                </c:pt>
                <c:pt idx="9">
                  <c:v>1152</c:v>
                </c:pt>
                <c:pt idx="10">
                  <c:v>1260</c:v>
                </c:pt>
                <c:pt idx="11">
                  <c:v>1721</c:v>
                </c:pt>
                <c:pt idx="12">
                  <c:v>3152</c:v>
                </c:pt>
                <c:pt idx="13">
                  <c:v>4730</c:v>
                </c:pt>
                <c:pt idx="14">
                  <c:v>4836</c:v>
                </c:pt>
                <c:pt idx="15">
                  <c:v>5138</c:v>
                </c:pt>
                <c:pt idx="16">
                  <c:v>5154</c:v>
                </c:pt>
                <c:pt idx="17">
                  <c:v>6025</c:v>
                </c:pt>
                <c:pt idx="18">
                  <c:v>6173</c:v>
                </c:pt>
              </c:numCache>
            </c:numRef>
          </c:xVal>
          <c:yVal>
            <c:numRef>
              <c:f>Active!$O$21:$O$39</c:f>
              <c:numCache>
                <c:formatCode>General</c:formatCode>
                <c:ptCount val="19"/>
                <c:pt idx="0">
                  <c:v>-0.20633351051815438</c:v>
                </c:pt>
                <c:pt idx="1">
                  <c:v>-9.5651211862430127E-2</c:v>
                </c:pt>
                <c:pt idx="2">
                  <c:v>-5.0484365227150524E-2</c:v>
                </c:pt>
                <c:pt idx="3">
                  <c:v>-3.88397875789925E-2</c:v>
                </c:pt>
                <c:pt idx="4">
                  <c:v>-3.2841065760244426E-2</c:v>
                </c:pt>
                <c:pt idx="5">
                  <c:v>-3.2841065760244426E-2</c:v>
                </c:pt>
                <c:pt idx="6">
                  <c:v>-2.7391246591577875E-2</c:v>
                </c:pt>
                <c:pt idx="7">
                  <c:v>-2.7195209930834473E-2</c:v>
                </c:pt>
                <c:pt idx="8">
                  <c:v>6.2486443919897508E-3</c:v>
                </c:pt>
                <c:pt idx="9">
                  <c:v>1.2325780875035185E-2</c:v>
                </c:pt>
                <c:pt idx="10">
                  <c:v>1.656017274709265E-2</c:v>
                </c:pt>
                <c:pt idx="11">
                  <c:v>3.4634752867634219E-2</c:v>
                </c:pt>
                <c:pt idx="12">
                  <c:v>9.0740445172395615E-2</c:v>
                </c:pt>
                <c:pt idx="13">
                  <c:v>0.15260961530301301</c:v>
                </c:pt>
                <c:pt idx="14">
                  <c:v>0.1567655925107731</c:v>
                </c:pt>
                <c:pt idx="15">
                  <c:v>0.16860620681967453</c:v>
                </c:pt>
                <c:pt idx="16">
                  <c:v>0.1692335241340534</c:v>
                </c:pt>
                <c:pt idx="17">
                  <c:v>0.20338311043555388</c:v>
                </c:pt>
                <c:pt idx="18">
                  <c:v>0.20918579559355854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3A3-4A16-B255-CB5D04384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0619648"/>
        <c:axId val="1"/>
      </c:scatterChart>
      <c:valAx>
        <c:axId val="540619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58775088058229"/>
              <c:y val="0.858493207217022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620817843866169E-2"/>
              <c:y val="0.40880635203618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061964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754666354438036"/>
          <c:y val="0.91195232671387771"/>
          <c:w val="0.77881118949350658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15</xdr:col>
      <xdr:colOff>85725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0C0FE3C-D125-C424-7766-B2AB593B8F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solj.cetus-net.org/no48.pdf" TargetMode="External"/><Relationship Id="rId2" Type="http://schemas.openxmlformats.org/officeDocument/2006/relationships/hyperlink" Target="http://www.konkoly.hu/cgi-bin/IBVS?5992" TargetMode="External"/><Relationship Id="rId1" Type="http://schemas.openxmlformats.org/officeDocument/2006/relationships/hyperlink" Target="http://www.konkoly.hu/cgi-bin/IBVS?5992" TargetMode="External"/><Relationship Id="rId4" Type="http://schemas.openxmlformats.org/officeDocument/2006/relationships/hyperlink" Target="http://vsolj.cetus-net.org/vsoljno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tabSelected="1" workbookViewId="0">
      <pane xSplit="14" ySplit="22" topLeftCell="O35" activePane="bottomRight" state="frozen"/>
      <selection pane="topRight" activeCell="O1" sqref="O1"/>
      <selection pane="bottomLeft" activeCell="A23" sqref="A23"/>
      <selection pane="bottomRight" activeCell="F12" sqref="F12"/>
    </sheetView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>
      <c r="A1" s="2" t="s">
        <v>0</v>
      </c>
    </row>
    <row r="2" spans="1:6">
      <c r="A2" s="1" t="s">
        <v>1</v>
      </c>
      <c r="B2" s="3" t="s">
        <v>2</v>
      </c>
    </row>
    <row r="4" spans="1:6">
      <c r="A4" s="4" t="s">
        <v>3</v>
      </c>
      <c r="C4" s="5">
        <v>42538.413</v>
      </c>
      <c r="D4" s="6">
        <v>2.5485370000000001</v>
      </c>
    </row>
    <row r="5" spans="1:6">
      <c r="A5" s="7" t="s">
        <v>4</v>
      </c>
      <c r="B5"/>
      <c r="C5" s="8">
        <v>-9.5</v>
      </c>
      <c r="D5" t="s">
        <v>5</v>
      </c>
    </row>
    <row r="6" spans="1:6">
      <c r="A6" s="4" t="s">
        <v>6</v>
      </c>
    </row>
    <row r="7" spans="1:6">
      <c r="A7" s="1" t="s">
        <v>7</v>
      </c>
      <c r="C7" s="1">
        <f>+C4</f>
        <v>42538.413</v>
      </c>
    </row>
    <row r="8" spans="1:6">
      <c r="A8" s="1" t="s">
        <v>8</v>
      </c>
      <c r="C8" s="1">
        <f>+D4</f>
        <v>2.5485370000000001</v>
      </c>
    </row>
    <row r="9" spans="1:6">
      <c r="A9" s="9" t="s">
        <v>9</v>
      </c>
      <c r="B9" s="10">
        <v>26</v>
      </c>
      <c r="C9" s="11" t="str">
        <f>"F"&amp;B9</f>
        <v>F26</v>
      </c>
      <c r="D9" s="12" t="str">
        <f>"G"&amp;B9</f>
        <v>G26</v>
      </c>
    </row>
    <row r="10" spans="1:6">
      <c r="A10"/>
      <c r="B10"/>
      <c r="C10" s="13" t="s">
        <v>10</v>
      </c>
      <c r="D10" s="13" t="s">
        <v>11</v>
      </c>
      <c r="E10"/>
    </row>
    <row r="11" spans="1:6">
      <c r="A11" t="s">
        <v>12</v>
      </c>
      <c r="B11"/>
      <c r="C11" s="14">
        <f ca="1">INTERCEPT(INDIRECT($D$9):G992,INDIRECT($C$9):F992)</f>
        <v>-3.2841065760244426E-2</v>
      </c>
      <c r="D11" s="15"/>
      <c r="E11"/>
    </row>
    <row r="12" spans="1:6">
      <c r="A12" t="s">
        <v>13</v>
      </c>
      <c r="B12"/>
      <c r="C12" s="14">
        <f ca="1">SLOPE(INDIRECT($D$9):G992,INDIRECT($C$9):F992)</f>
        <v>3.9207332148680216E-5</v>
      </c>
      <c r="D12" s="15"/>
      <c r="E12"/>
    </row>
    <row r="13" spans="1:6">
      <c r="A13" t="s">
        <v>14</v>
      </c>
      <c r="B13"/>
      <c r="C13" s="15" t="s">
        <v>15</v>
      </c>
    </row>
    <row r="14" spans="1:6">
      <c r="A14"/>
      <c r="B14"/>
      <c r="C14"/>
    </row>
    <row r="15" spans="1:6">
      <c r="A15" s="16" t="s">
        <v>16</v>
      </c>
      <c r="B15"/>
      <c r="C15" s="17">
        <f ca="1">(C7+C11)+(C8+C12)*INT(MAX(F21:F3533))</f>
        <v>59361.53170353375</v>
      </c>
      <c r="E15" s="18" t="s">
        <v>17</v>
      </c>
      <c r="F15" s="8">
        <v>1</v>
      </c>
    </row>
    <row r="16" spans="1:6">
      <c r="A16" s="16" t="s">
        <v>18</v>
      </c>
      <c r="B16"/>
      <c r="C16" s="17">
        <f ca="1">+C8+C12</f>
        <v>2.5485762073321485</v>
      </c>
      <c r="E16" s="18" t="s">
        <v>19</v>
      </c>
      <c r="F16" s="14">
        <f ca="1">NOW()+15018.5+$C$5/24</f>
        <v>59969.852188657402</v>
      </c>
    </row>
    <row r="17" spans="1:32">
      <c r="A17" s="18" t="s">
        <v>20</v>
      </c>
      <c r="B17"/>
      <c r="C17">
        <f>COUNT(C21:C2191)</f>
        <v>33</v>
      </c>
      <c r="E17" s="18" t="s">
        <v>21</v>
      </c>
      <c r="F17" s="14">
        <f ca="1">ROUND(2*(F16-$C$7)/$C$8,0)/2+F15</f>
        <v>6841</v>
      </c>
    </row>
    <row r="18" spans="1:32">
      <c r="A18" s="16" t="s">
        <v>22</v>
      </c>
      <c r="B18"/>
      <c r="C18" s="19">
        <f ca="1">+C15</f>
        <v>59361.53170353375</v>
      </c>
      <c r="D18" s="20">
        <f ca="1">+C16</f>
        <v>2.5485762073321485</v>
      </c>
      <c r="E18" s="18" t="s">
        <v>23</v>
      </c>
      <c r="F18" s="12">
        <f ca="1">ROUND(2*(F16-$C$15)/$C$16,0)/2+F15</f>
        <v>239.5</v>
      </c>
    </row>
    <row r="19" spans="1:32">
      <c r="E19" s="18" t="s">
        <v>24</v>
      </c>
      <c r="F19" s="21">
        <f ca="1">+$C$15+$C$16*F18-15018.5-$C$5/24</f>
        <v>44953.811538523136</v>
      </c>
    </row>
    <row r="20" spans="1:32">
      <c r="A20" s="13" t="s">
        <v>25</v>
      </c>
      <c r="B20" s="13" t="s">
        <v>26</v>
      </c>
      <c r="C20" s="13" t="s">
        <v>27</v>
      </c>
      <c r="D20" s="13" t="s">
        <v>28</v>
      </c>
      <c r="E20" s="13" t="s">
        <v>29</v>
      </c>
      <c r="F20" s="13" t="s">
        <v>30</v>
      </c>
      <c r="G20" s="13" t="s">
        <v>31</v>
      </c>
      <c r="H20" s="22" t="s">
        <v>32</v>
      </c>
      <c r="I20" s="22" t="s">
        <v>33</v>
      </c>
      <c r="J20" s="22" t="s">
        <v>34</v>
      </c>
      <c r="K20" s="22" t="s">
        <v>35</v>
      </c>
      <c r="L20" s="22" t="s">
        <v>36</v>
      </c>
      <c r="M20" s="22" t="s">
        <v>37</v>
      </c>
      <c r="N20" s="22" t="s">
        <v>38</v>
      </c>
      <c r="O20" s="22" t="s">
        <v>39</v>
      </c>
      <c r="P20" s="22" t="s">
        <v>40</v>
      </c>
      <c r="Q20" s="13" t="s">
        <v>41</v>
      </c>
    </row>
    <row r="21" spans="1:32">
      <c r="A21" s="23" t="s">
        <v>42</v>
      </c>
      <c r="B21" s="24" t="s">
        <v>43</v>
      </c>
      <c r="C21" s="25">
        <v>31261.196</v>
      </c>
      <c r="D21" s="26"/>
      <c r="E21" s="1">
        <f t="shared" ref="E21:E37" si="0">+(C21-C$7)/C$8</f>
        <v>-4424.9767611770994</v>
      </c>
      <c r="F21" s="1">
        <f t="shared" ref="F21:F38" si="1">ROUND(2*E21,0)/2</f>
        <v>-4425</v>
      </c>
      <c r="G21" s="1">
        <f t="shared" ref="G21:G37" si="2">+C21-(C$7+F21*C$8)</f>
        <v>5.9225000000878936E-2</v>
      </c>
      <c r="H21" s="1">
        <f>+G21</f>
        <v>5.9225000000878936E-2</v>
      </c>
      <c r="O21" s="1">
        <f t="shared" ref="O21:O37" ca="1" si="3">+C$11+C$12*F21</f>
        <v>-0.20633351051815438</v>
      </c>
      <c r="Q21" s="51">
        <f t="shared" ref="Q21:Q37" si="4">+C21-15018.5</f>
        <v>16242.696</v>
      </c>
    </row>
    <row r="22" spans="1:32" ht="12.75" customHeight="1">
      <c r="A22" s="27" t="s">
        <v>44</v>
      </c>
      <c r="B22" s="28"/>
      <c r="C22" s="29">
        <v>38455.68</v>
      </c>
      <c r="D22" s="26"/>
      <c r="E22" s="1">
        <f t="shared" si="0"/>
        <v>-1601.9908677017443</v>
      </c>
      <c r="F22" s="1">
        <f t="shared" si="1"/>
        <v>-1602</v>
      </c>
      <c r="G22" s="1">
        <f t="shared" si="2"/>
        <v>2.3273999999219086E-2</v>
      </c>
      <c r="I22" s="1">
        <f>+G22</f>
        <v>2.3273999999219086E-2</v>
      </c>
      <c r="O22" s="1">
        <f t="shared" ca="1" si="3"/>
        <v>-9.5651211862430127E-2</v>
      </c>
      <c r="Q22" s="51">
        <f t="shared" si="4"/>
        <v>23437.18</v>
      </c>
    </row>
    <row r="23" spans="1:32" ht="12.75" customHeight="1">
      <c r="A23" s="1" t="s">
        <v>45</v>
      </c>
      <c r="C23" s="30">
        <v>41391.548000000003</v>
      </c>
      <c r="D23" s="26"/>
      <c r="E23" s="1">
        <f t="shared" si="0"/>
        <v>-450.00916211928569</v>
      </c>
      <c r="F23" s="1">
        <f t="shared" si="1"/>
        <v>-450</v>
      </c>
      <c r="G23" s="1">
        <f t="shared" si="2"/>
        <v>-2.3349999995843973E-2</v>
      </c>
      <c r="I23" s="1">
        <f>+G23</f>
        <v>-2.3349999995843973E-2</v>
      </c>
      <c r="O23" s="1">
        <f t="shared" ca="1" si="3"/>
        <v>-5.0484365227150524E-2</v>
      </c>
      <c r="Q23" s="51">
        <f t="shared" si="4"/>
        <v>26373.048000000003</v>
      </c>
      <c r="AA23" s="1" t="s">
        <v>46</v>
      </c>
      <c r="AB23" s="1">
        <v>13</v>
      </c>
      <c r="AD23" s="1" t="s">
        <v>47</v>
      </c>
      <c r="AF23" s="1" t="s">
        <v>48</v>
      </c>
    </row>
    <row r="24" spans="1:32" ht="12.75" customHeight="1">
      <c r="A24" s="1" t="s">
        <v>49</v>
      </c>
      <c r="C24" s="30">
        <v>42148.464999999997</v>
      </c>
      <c r="D24" s="26"/>
      <c r="E24" s="1">
        <f t="shared" si="0"/>
        <v>-153.00856923011278</v>
      </c>
      <c r="F24" s="1">
        <f t="shared" si="1"/>
        <v>-153</v>
      </c>
      <c r="G24" s="1">
        <f t="shared" si="2"/>
        <v>-2.1839000000909436E-2</v>
      </c>
      <c r="I24" s="1">
        <f>+G24</f>
        <v>-2.1839000000909436E-2</v>
      </c>
      <c r="O24" s="1">
        <f t="shared" ca="1" si="3"/>
        <v>-3.88397875789925E-2</v>
      </c>
      <c r="Q24" s="51">
        <f t="shared" si="4"/>
        <v>27129.964999999997</v>
      </c>
      <c r="AA24" s="1" t="s">
        <v>46</v>
      </c>
      <c r="AB24" s="1">
        <v>10</v>
      </c>
      <c r="AD24" s="1" t="s">
        <v>47</v>
      </c>
      <c r="AF24" s="1" t="s">
        <v>48</v>
      </c>
    </row>
    <row r="25" spans="1:32" ht="12.75" customHeight="1">
      <c r="A25" s="1" t="s">
        <v>50</v>
      </c>
      <c r="C25" s="30">
        <v>42538.411</v>
      </c>
      <c r="D25" s="26"/>
      <c r="E25" s="1">
        <f t="shared" si="0"/>
        <v>-7.8476396474034063E-4</v>
      </c>
      <c r="F25" s="1">
        <f t="shared" si="1"/>
        <v>0</v>
      </c>
      <c r="G25" s="1">
        <f t="shared" si="2"/>
        <v>-2.0000000004074536E-3</v>
      </c>
      <c r="I25" s="1">
        <f>+G25</f>
        <v>-2.0000000004074536E-3</v>
      </c>
      <c r="O25" s="1">
        <f t="shared" ca="1" si="3"/>
        <v>-3.2841065760244426E-2</v>
      </c>
      <c r="Q25" s="51">
        <f t="shared" si="4"/>
        <v>27519.911</v>
      </c>
      <c r="AA25" s="1" t="s">
        <v>46</v>
      </c>
      <c r="AB25" s="1">
        <v>12</v>
      </c>
      <c r="AD25" s="1" t="s">
        <v>47</v>
      </c>
      <c r="AF25" s="1" t="s">
        <v>48</v>
      </c>
    </row>
    <row r="26" spans="1:32" ht="12.75" customHeight="1">
      <c r="A26" s="1" t="s">
        <v>51</v>
      </c>
      <c r="C26" s="26">
        <v>42538.413</v>
      </c>
      <c r="D26" s="26" t="s">
        <v>15</v>
      </c>
      <c r="E26" s="1">
        <f t="shared" si="0"/>
        <v>0</v>
      </c>
      <c r="F26" s="1">
        <f t="shared" si="1"/>
        <v>0</v>
      </c>
      <c r="G26" s="1">
        <f t="shared" si="2"/>
        <v>0</v>
      </c>
      <c r="I26" s="1">
        <f>+G26</f>
        <v>0</v>
      </c>
      <c r="O26" s="1">
        <f t="shared" ca="1" si="3"/>
        <v>-3.2841065760244426E-2</v>
      </c>
      <c r="Q26" s="51">
        <f t="shared" si="4"/>
        <v>27519.913</v>
      </c>
    </row>
    <row r="27" spans="1:32" ht="12.75" customHeight="1">
      <c r="A27" s="1" t="s">
        <v>52</v>
      </c>
      <c r="C27" s="30">
        <v>42892.614000000001</v>
      </c>
      <c r="D27" s="26"/>
      <c r="E27" s="1">
        <f t="shared" si="0"/>
        <v>138.98209050918268</v>
      </c>
      <c r="F27" s="1">
        <f t="shared" si="1"/>
        <v>139</v>
      </c>
      <c r="G27" s="1">
        <f t="shared" si="2"/>
        <v>-4.5642999997653533E-2</v>
      </c>
      <c r="I27" s="1">
        <f t="shared" ref="I27:I33" si="5">+G27</f>
        <v>-4.5642999997653533E-2</v>
      </c>
      <c r="O27" s="1">
        <f t="shared" ca="1" si="3"/>
        <v>-2.7391246591577875E-2</v>
      </c>
      <c r="Q27" s="51">
        <f t="shared" si="4"/>
        <v>27874.114000000001</v>
      </c>
      <c r="AA27" s="1" t="s">
        <v>46</v>
      </c>
      <c r="AD27" s="1" t="s">
        <v>53</v>
      </c>
      <c r="AF27" s="1" t="s">
        <v>54</v>
      </c>
    </row>
    <row r="28" spans="1:32" ht="12.75" customHeight="1">
      <c r="A28" s="1" t="s">
        <v>52</v>
      </c>
      <c r="C28" s="30">
        <v>42905.364999999998</v>
      </c>
      <c r="D28" s="26"/>
      <c r="E28" s="1">
        <f t="shared" si="0"/>
        <v>143.98535316536407</v>
      </c>
      <c r="F28" s="1">
        <f t="shared" si="1"/>
        <v>144</v>
      </c>
      <c r="G28" s="1">
        <f t="shared" si="2"/>
        <v>-3.7328000005800277E-2</v>
      </c>
      <c r="I28" s="1">
        <f t="shared" si="5"/>
        <v>-3.7328000005800277E-2</v>
      </c>
      <c r="O28" s="1">
        <f t="shared" ca="1" si="3"/>
        <v>-2.7195209930834473E-2</v>
      </c>
      <c r="Q28" s="51">
        <f t="shared" si="4"/>
        <v>27886.864999999998</v>
      </c>
      <c r="AA28" s="1" t="s">
        <v>46</v>
      </c>
      <c r="AD28" s="1" t="s">
        <v>53</v>
      </c>
      <c r="AF28" s="1" t="s">
        <v>54</v>
      </c>
    </row>
    <row r="29" spans="1:32" ht="12.75" customHeight="1">
      <c r="A29" s="1" t="s">
        <v>55</v>
      </c>
      <c r="C29" s="30">
        <v>45079.336000000003</v>
      </c>
      <c r="D29" s="26" t="s">
        <v>56</v>
      </c>
      <c r="E29" s="1">
        <f t="shared" si="0"/>
        <v>997.01240358684311</v>
      </c>
      <c r="F29" s="1">
        <f t="shared" si="1"/>
        <v>997</v>
      </c>
      <c r="G29" s="1">
        <f t="shared" si="2"/>
        <v>3.1611000005796086E-2</v>
      </c>
      <c r="I29" s="1">
        <f t="shared" si="5"/>
        <v>3.1611000005796086E-2</v>
      </c>
      <c r="O29" s="1">
        <f t="shared" ca="1" si="3"/>
        <v>6.2486443919897508E-3</v>
      </c>
      <c r="Q29" s="51">
        <f t="shared" si="4"/>
        <v>30060.836000000003</v>
      </c>
      <c r="AA29" s="1" t="s">
        <v>46</v>
      </c>
      <c r="AB29" s="1">
        <v>6</v>
      </c>
      <c r="AD29" s="1" t="s">
        <v>47</v>
      </c>
      <c r="AF29" s="1" t="s">
        <v>48</v>
      </c>
    </row>
    <row r="30" spans="1:32" ht="12.75" customHeight="1">
      <c r="A30" s="1" t="s">
        <v>57</v>
      </c>
      <c r="C30" s="30">
        <v>45474.355000000003</v>
      </c>
      <c r="D30" s="26"/>
      <c r="E30" s="1">
        <f t="shared" si="0"/>
        <v>1152.0107418491482</v>
      </c>
      <c r="F30" s="1">
        <f t="shared" si="1"/>
        <v>1152</v>
      </c>
      <c r="G30" s="1">
        <f t="shared" si="2"/>
        <v>2.737600000546081E-2</v>
      </c>
      <c r="I30" s="1">
        <f t="shared" si="5"/>
        <v>2.737600000546081E-2</v>
      </c>
      <c r="O30" s="1">
        <f t="shared" ca="1" si="3"/>
        <v>1.2325780875035185E-2</v>
      </c>
      <c r="Q30" s="51">
        <f t="shared" si="4"/>
        <v>30455.855000000003</v>
      </c>
      <c r="AA30" s="1" t="s">
        <v>46</v>
      </c>
      <c r="AB30" s="1">
        <v>6</v>
      </c>
      <c r="AD30" s="1" t="s">
        <v>47</v>
      </c>
      <c r="AF30" s="1" t="s">
        <v>48</v>
      </c>
    </row>
    <row r="31" spans="1:32" ht="12.75" customHeight="1">
      <c r="A31" s="1" t="s">
        <v>58</v>
      </c>
      <c r="C31" s="30">
        <v>45749.557000000001</v>
      </c>
      <c r="D31" s="26"/>
      <c r="E31" s="1">
        <f t="shared" si="0"/>
        <v>1259.9950481393835</v>
      </c>
      <c r="F31" s="1">
        <f t="shared" si="1"/>
        <v>1260</v>
      </c>
      <c r="G31" s="1">
        <f t="shared" si="2"/>
        <v>-1.262000000133412E-2</v>
      </c>
      <c r="I31" s="1">
        <f t="shared" si="5"/>
        <v>-1.262000000133412E-2</v>
      </c>
      <c r="O31" s="1">
        <f t="shared" ca="1" si="3"/>
        <v>1.656017274709265E-2</v>
      </c>
      <c r="Q31" s="51">
        <f t="shared" si="4"/>
        <v>30731.057000000001</v>
      </c>
      <c r="AA31" s="1" t="s">
        <v>46</v>
      </c>
      <c r="AB31" s="1">
        <v>4</v>
      </c>
      <c r="AD31" s="1" t="s">
        <v>47</v>
      </c>
      <c r="AF31" s="1" t="s">
        <v>48</v>
      </c>
    </row>
    <row r="32" spans="1:32" ht="12.75" customHeight="1">
      <c r="A32" s="1" t="s">
        <v>59</v>
      </c>
      <c r="C32" s="30">
        <v>46924.472999999998</v>
      </c>
      <c r="D32" s="26"/>
      <c r="E32" s="1">
        <f t="shared" si="0"/>
        <v>1721.0109172438922</v>
      </c>
      <c r="F32" s="1">
        <f t="shared" si="1"/>
        <v>1721</v>
      </c>
      <c r="G32" s="1">
        <f t="shared" si="2"/>
        <v>2.7822999996715225E-2</v>
      </c>
      <c r="I32" s="1">
        <f t="shared" si="5"/>
        <v>2.7822999996715225E-2</v>
      </c>
      <c r="O32" s="1">
        <f t="shared" ca="1" si="3"/>
        <v>3.4634752867634219E-2</v>
      </c>
      <c r="Q32" s="51">
        <f t="shared" si="4"/>
        <v>31905.972999999998</v>
      </c>
      <c r="AA32" s="1" t="s">
        <v>46</v>
      </c>
      <c r="AB32" s="1">
        <v>10</v>
      </c>
      <c r="AD32" s="1" t="s">
        <v>60</v>
      </c>
      <c r="AF32" s="1" t="s">
        <v>48</v>
      </c>
    </row>
    <row r="33" spans="1:32" ht="12.75" customHeight="1">
      <c r="A33" s="1" t="s">
        <v>61</v>
      </c>
      <c r="C33" s="30">
        <v>50571.495999999999</v>
      </c>
      <c r="D33" s="26">
        <v>5.0000000000000001E-3</v>
      </c>
      <c r="E33" s="1">
        <f t="shared" si="0"/>
        <v>3152.0370314419602</v>
      </c>
      <c r="F33" s="1">
        <f t="shared" si="1"/>
        <v>3152</v>
      </c>
      <c r="G33" s="1">
        <f t="shared" si="2"/>
        <v>9.4376000000920612E-2</v>
      </c>
      <c r="I33" s="1">
        <f t="shared" si="5"/>
        <v>9.4376000000920612E-2</v>
      </c>
      <c r="O33" s="1">
        <f t="shared" ca="1" si="3"/>
        <v>9.0740445172395615E-2</v>
      </c>
      <c r="Q33" s="51">
        <f t="shared" si="4"/>
        <v>35552.995999999999</v>
      </c>
      <c r="AA33" s="1" t="s">
        <v>62</v>
      </c>
      <c r="AB33" s="1">
        <v>44</v>
      </c>
      <c r="AD33" s="1" t="s">
        <v>60</v>
      </c>
      <c r="AF33" s="1" t="s">
        <v>48</v>
      </c>
    </row>
    <row r="34" spans="1:32">
      <c r="A34" s="23" t="s">
        <v>63</v>
      </c>
      <c r="B34" s="24" t="s">
        <v>43</v>
      </c>
      <c r="C34" s="25">
        <v>54593.135399999999</v>
      </c>
      <c r="D34" s="26"/>
      <c r="E34" s="1">
        <f t="shared" si="0"/>
        <v>4730.0558712704578</v>
      </c>
      <c r="F34" s="1">
        <f t="shared" si="1"/>
        <v>4730</v>
      </c>
      <c r="G34" s="1">
        <f t="shared" si="2"/>
        <v>0.14239000000088708</v>
      </c>
      <c r="K34" s="1">
        <f t="shared" ref="K34:K39" si="6">+G34</f>
        <v>0.14239000000088708</v>
      </c>
      <c r="O34" s="1">
        <f t="shared" ca="1" si="3"/>
        <v>0.15260961530301301</v>
      </c>
      <c r="Q34" s="51">
        <f t="shared" si="4"/>
        <v>39574.635399999999</v>
      </c>
    </row>
    <row r="35" spans="1:32">
      <c r="A35" s="23" t="s">
        <v>64</v>
      </c>
      <c r="B35" s="24" t="s">
        <v>43</v>
      </c>
      <c r="C35" s="25">
        <v>54863.286699999997</v>
      </c>
      <c r="D35" s="26"/>
      <c r="E35" s="1">
        <f t="shared" si="0"/>
        <v>4836.0583738827399</v>
      </c>
      <c r="F35" s="1">
        <f t="shared" si="1"/>
        <v>4836</v>
      </c>
      <c r="G35" s="1">
        <f t="shared" si="2"/>
        <v>0.14876799999910872</v>
      </c>
      <c r="K35" s="1">
        <f t="shared" si="6"/>
        <v>0.14876799999910872</v>
      </c>
      <c r="O35" s="1">
        <f t="shared" ca="1" si="3"/>
        <v>0.1567655925107731</v>
      </c>
      <c r="Q35" s="51">
        <f t="shared" si="4"/>
        <v>39844.786699999997</v>
      </c>
    </row>
    <row r="36" spans="1:32">
      <c r="A36" s="31" t="s">
        <v>65</v>
      </c>
      <c r="B36" s="32" t="s">
        <v>43</v>
      </c>
      <c r="C36" s="31">
        <v>55632.957199999997</v>
      </c>
      <c r="D36" s="31">
        <v>5.9999999999999995E-4</v>
      </c>
      <c r="E36" s="1">
        <f t="shared" si="0"/>
        <v>5138.063210383054</v>
      </c>
      <c r="F36" s="1">
        <f t="shared" si="1"/>
        <v>5138</v>
      </c>
      <c r="G36" s="1">
        <f t="shared" si="2"/>
        <v>0.16109399999550078</v>
      </c>
      <c r="K36" s="1">
        <f t="shared" si="6"/>
        <v>0.16109399999550078</v>
      </c>
      <c r="O36" s="1">
        <f t="shared" ca="1" si="3"/>
        <v>0.16860620681967453</v>
      </c>
      <c r="Q36" s="51">
        <f t="shared" si="4"/>
        <v>40614.457199999997</v>
      </c>
    </row>
    <row r="37" spans="1:32">
      <c r="A37" s="31" t="s">
        <v>65</v>
      </c>
      <c r="B37" s="32" t="s">
        <v>43</v>
      </c>
      <c r="C37" s="31">
        <v>55673.731500000002</v>
      </c>
      <c r="D37" s="31">
        <v>2.0000000000000001E-4</v>
      </c>
      <c r="E37" s="1">
        <f t="shared" si="0"/>
        <v>5154.0623110435517</v>
      </c>
      <c r="F37" s="1">
        <f t="shared" si="1"/>
        <v>5154</v>
      </c>
      <c r="G37" s="1">
        <f t="shared" si="2"/>
        <v>0.15880199999810429</v>
      </c>
      <c r="K37" s="1">
        <f t="shared" si="6"/>
        <v>0.15880199999810429</v>
      </c>
      <c r="O37" s="1">
        <f t="shared" ca="1" si="3"/>
        <v>0.1692335241340534</v>
      </c>
      <c r="Q37" s="51">
        <f t="shared" si="4"/>
        <v>40655.231500000002</v>
      </c>
    </row>
    <row r="38" spans="1:32">
      <c r="A38" s="33" t="s">
        <v>66</v>
      </c>
      <c r="B38" s="34" t="s">
        <v>43</v>
      </c>
      <c r="C38" s="35">
        <v>57893.531000000003</v>
      </c>
      <c r="D38" s="35">
        <v>1E-3</v>
      </c>
      <c r="E38" s="1">
        <f>+(C38-C$7)/C$8</f>
        <v>6025.0716391404176</v>
      </c>
      <c r="F38" s="1">
        <f t="shared" si="1"/>
        <v>6025</v>
      </c>
      <c r="G38" s="1">
        <f>+C38-(C$7+F38*C$8)</f>
        <v>0.1825749999989057</v>
      </c>
      <c r="K38" s="1">
        <f t="shared" si="6"/>
        <v>0.1825749999989057</v>
      </c>
      <c r="O38" s="1">
        <f ca="1">+C$11+C$12*F38</f>
        <v>0.20338311043555388</v>
      </c>
      <c r="Q38" s="51">
        <f>+C38-15018.5</f>
        <v>42875.031000000003</v>
      </c>
    </row>
    <row r="39" spans="1:32">
      <c r="A39" s="36" t="s">
        <v>67</v>
      </c>
      <c r="B39" s="37" t="s">
        <v>43</v>
      </c>
      <c r="C39" s="38">
        <v>58270.714899999999</v>
      </c>
      <c r="D39" s="38">
        <v>5.9999999999999995E-4</v>
      </c>
      <c r="E39" s="1">
        <f>+(C39-C$7)/C$8</f>
        <v>6173.0718055103762</v>
      </c>
      <c r="F39" s="1">
        <f>ROUND(2*E39,0)/2</f>
        <v>6173</v>
      </c>
      <c r="G39" s="1">
        <f>+C39-(C$7+F39*C$8)</f>
        <v>0.1829989999969257</v>
      </c>
      <c r="K39" s="1">
        <f t="shared" si="6"/>
        <v>0.1829989999969257</v>
      </c>
      <c r="O39" s="1">
        <f ca="1">+C$11+C$12*F39</f>
        <v>0.20918579559355854</v>
      </c>
      <c r="Q39" s="51">
        <f>+C39-15018.5</f>
        <v>43252.214899999999</v>
      </c>
    </row>
    <row r="40" spans="1:32">
      <c r="A40" s="52" t="s">
        <v>133</v>
      </c>
      <c r="B40" s="53" t="s">
        <v>43</v>
      </c>
      <c r="C40" s="54">
        <v>59244.273899999913</v>
      </c>
      <c r="D40" s="52" t="s">
        <v>74</v>
      </c>
      <c r="E40" s="1">
        <f t="shared" ref="E40:E53" si="7">+(C40-C$7)/C$8</f>
        <v>6555.0788158068381</v>
      </c>
      <c r="F40" s="1">
        <f t="shared" ref="F40:F53" si="8">ROUND(2*E40,0)/2</f>
        <v>6555</v>
      </c>
      <c r="G40" s="1">
        <f t="shared" ref="G40:G53" si="9">+C40-(C$7+F40*C$8)</f>
        <v>0.20086499991157325</v>
      </c>
      <c r="K40" s="1">
        <f t="shared" ref="K40:K53" si="10">+G40</f>
        <v>0.20086499991157325</v>
      </c>
      <c r="O40" s="1">
        <f t="shared" ref="O40:O53" ca="1" si="11">+C$11+C$12*F40</f>
        <v>0.22416299647435439</v>
      </c>
      <c r="Q40" s="51">
        <f t="shared" ref="Q40:Q53" si="12">+C40-15018.5</f>
        <v>44225.773899999913</v>
      </c>
    </row>
    <row r="41" spans="1:32">
      <c r="A41" s="52" t="s">
        <v>133</v>
      </c>
      <c r="B41" s="53" t="s">
        <v>43</v>
      </c>
      <c r="C41" s="54">
        <v>59244.274000000209</v>
      </c>
      <c r="D41" s="52" t="s">
        <v>128</v>
      </c>
      <c r="E41" s="1">
        <f t="shared" si="7"/>
        <v>6555.0788550451525</v>
      </c>
      <c r="F41" s="1">
        <f t="shared" si="8"/>
        <v>6555</v>
      </c>
      <c r="G41" s="1">
        <f t="shared" si="9"/>
        <v>0.2009650002073613</v>
      </c>
      <c r="K41" s="1">
        <f t="shared" si="10"/>
        <v>0.2009650002073613</v>
      </c>
      <c r="O41" s="1">
        <f t="shared" ca="1" si="11"/>
        <v>0.22416299647435439</v>
      </c>
      <c r="Q41" s="51">
        <f t="shared" si="12"/>
        <v>44225.774000000209</v>
      </c>
    </row>
    <row r="42" spans="1:32">
      <c r="A42" s="52" t="s">
        <v>133</v>
      </c>
      <c r="B42" s="53" t="s">
        <v>43</v>
      </c>
      <c r="C42" s="54">
        <v>59244.274100000039</v>
      </c>
      <c r="D42" s="52" t="s">
        <v>48</v>
      </c>
      <c r="E42" s="1">
        <f t="shared" si="7"/>
        <v>6555.0788942832842</v>
      </c>
      <c r="F42" s="1">
        <f t="shared" si="8"/>
        <v>6555</v>
      </c>
      <c r="G42" s="1">
        <f t="shared" si="9"/>
        <v>0.20106500003748806</v>
      </c>
      <c r="K42" s="1">
        <f t="shared" si="10"/>
        <v>0.20106500003748806</v>
      </c>
      <c r="O42" s="1">
        <f t="shared" ca="1" si="11"/>
        <v>0.22416299647435439</v>
      </c>
      <c r="Q42" s="51">
        <f t="shared" si="12"/>
        <v>44225.774100000039</v>
      </c>
    </row>
    <row r="43" spans="1:32">
      <c r="A43" s="52" t="s">
        <v>133</v>
      </c>
      <c r="B43" s="53" t="s">
        <v>43</v>
      </c>
      <c r="C43" s="54">
        <v>59267.212100000121</v>
      </c>
      <c r="D43" s="52" t="s">
        <v>48</v>
      </c>
      <c r="E43" s="1">
        <f t="shared" si="7"/>
        <v>6564.0793521930891</v>
      </c>
      <c r="F43" s="1">
        <f t="shared" si="8"/>
        <v>6564</v>
      </c>
      <c r="G43" s="1">
        <f t="shared" si="9"/>
        <v>0.20223200011969311</v>
      </c>
      <c r="K43" s="1">
        <f t="shared" si="10"/>
        <v>0.20223200011969311</v>
      </c>
      <c r="O43" s="1">
        <f t="shared" ca="1" si="11"/>
        <v>0.22451586246369248</v>
      </c>
      <c r="Q43" s="51">
        <f t="shared" si="12"/>
        <v>44248.712100000121</v>
      </c>
    </row>
    <row r="44" spans="1:32">
      <c r="A44" s="52" t="s">
        <v>133</v>
      </c>
      <c r="B44" s="53" t="s">
        <v>43</v>
      </c>
      <c r="C44" s="54">
        <v>59267.213399999775</v>
      </c>
      <c r="D44" s="52" t="s">
        <v>128</v>
      </c>
      <c r="E44" s="1">
        <f t="shared" si="7"/>
        <v>6564.0798622895309</v>
      </c>
      <c r="F44" s="1">
        <f t="shared" si="8"/>
        <v>6564</v>
      </c>
      <c r="G44" s="1">
        <f t="shared" si="9"/>
        <v>0.20353199977398617</v>
      </c>
      <c r="K44" s="1">
        <f t="shared" si="10"/>
        <v>0.20353199977398617</v>
      </c>
      <c r="O44" s="1">
        <f t="shared" ca="1" si="11"/>
        <v>0.22451586246369248</v>
      </c>
      <c r="Q44" s="51">
        <f t="shared" si="12"/>
        <v>44248.713399999775</v>
      </c>
    </row>
    <row r="45" spans="1:32">
      <c r="A45" s="52" t="s">
        <v>133</v>
      </c>
      <c r="B45" s="53" t="s">
        <v>43</v>
      </c>
      <c r="C45" s="54">
        <v>59267.213800000027</v>
      </c>
      <c r="D45" s="52" t="s">
        <v>74</v>
      </c>
      <c r="E45" s="1">
        <f t="shared" si="7"/>
        <v>6564.0800192424222</v>
      </c>
      <c r="F45" s="1">
        <f t="shared" si="8"/>
        <v>6564</v>
      </c>
      <c r="G45" s="1">
        <f t="shared" si="9"/>
        <v>0.2039320000258158</v>
      </c>
      <c r="K45" s="1">
        <f t="shared" si="10"/>
        <v>0.2039320000258158</v>
      </c>
      <c r="O45" s="1">
        <f t="shared" ca="1" si="11"/>
        <v>0.22451586246369248</v>
      </c>
      <c r="Q45" s="51">
        <f t="shared" si="12"/>
        <v>44248.713800000027</v>
      </c>
    </row>
    <row r="46" spans="1:32">
      <c r="A46" s="52" t="s">
        <v>133</v>
      </c>
      <c r="B46" s="53" t="s">
        <v>43</v>
      </c>
      <c r="C46" s="54">
        <v>59290.275899999775</v>
      </c>
      <c r="D46" s="52" t="s">
        <v>74</v>
      </c>
      <c r="E46" s="1">
        <f t="shared" si="7"/>
        <v>6573.1291717560989</v>
      </c>
      <c r="F46" s="1">
        <f t="shared" si="8"/>
        <v>6573</v>
      </c>
      <c r="G46" s="1">
        <f t="shared" si="9"/>
        <v>0.32919899977423484</v>
      </c>
      <c r="K46" s="1">
        <f t="shared" si="10"/>
        <v>0.32919899977423484</v>
      </c>
      <c r="O46" s="1">
        <f t="shared" ca="1" si="11"/>
        <v>0.22486872845303063</v>
      </c>
      <c r="Q46" s="51">
        <f t="shared" si="12"/>
        <v>44271.775899999775</v>
      </c>
    </row>
    <row r="47" spans="1:32">
      <c r="A47" s="52" t="s">
        <v>133</v>
      </c>
      <c r="B47" s="53" t="s">
        <v>43</v>
      </c>
      <c r="C47" s="54">
        <v>59290.276300000027</v>
      </c>
      <c r="D47" s="52" t="s">
        <v>48</v>
      </c>
      <c r="E47" s="1">
        <f t="shared" si="7"/>
        <v>6573.1293287089911</v>
      </c>
      <c r="F47" s="1">
        <f t="shared" si="8"/>
        <v>6573</v>
      </c>
      <c r="G47" s="1">
        <f t="shared" si="9"/>
        <v>0.32959900002606446</v>
      </c>
      <c r="K47" s="1">
        <f t="shared" si="10"/>
        <v>0.32959900002606446</v>
      </c>
      <c r="O47" s="1">
        <f t="shared" ca="1" si="11"/>
        <v>0.22486872845303063</v>
      </c>
      <c r="Q47" s="51">
        <f t="shared" si="12"/>
        <v>44271.776300000027</v>
      </c>
    </row>
    <row r="48" spans="1:32">
      <c r="A48" s="52" t="s">
        <v>133</v>
      </c>
      <c r="B48" s="53" t="s">
        <v>43</v>
      </c>
      <c r="C48" s="54">
        <v>59290.276399999857</v>
      </c>
      <c r="D48" s="52" t="s">
        <v>128</v>
      </c>
      <c r="E48" s="1">
        <f t="shared" si="7"/>
        <v>6573.1293679471228</v>
      </c>
      <c r="F48" s="1">
        <f t="shared" si="8"/>
        <v>6573</v>
      </c>
      <c r="G48" s="1">
        <f t="shared" si="9"/>
        <v>0.32969899985619122</v>
      </c>
      <c r="K48" s="1">
        <f t="shared" si="10"/>
        <v>0.32969899985619122</v>
      </c>
      <c r="O48" s="1">
        <f t="shared" ca="1" si="11"/>
        <v>0.22486872845303063</v>
      </c>
      <c r="Q48" s="51">
        <f t="shared" si="12"/>
        <v>44271.776399999857</v>
      </c>
    </row>
    <row r="49" spans="1:17">
      <c r="A49" s="52" t="s">
        <v>133</v>
      </c>
      <c r="B49" s="53" t="s">
        <v>43</v>
      </c>
      <c r="C49" s="54">
        <v>59313.084499999881</v>
      </c>
      <c r="D49" s="52" t="s">
        <v>74</v>
      </c>
      <c r="E49" s="1">
        <f t="shared" si="7"/>
        <v>6582.0788554374058</v>
      </c>
      <c r="F49" s="1">
        <f t="shared" si="8"/>
        <v>6582</v>
      </c>
      <c r="G49" s="1">
        <f t="shared" si="9"/>
        <v>0.20096599988028174</v>
      </c>
      <c r="K49" s="1">
        <f t="shared" si="10"/>
        <v>0.20096599988028174</v>
      </c>
      <c r="O49" s="1">
        <f t="shared" ca="1" si="11"/>
        <v>0.22522159444236878</v>
      </c>
      <c r="Q49" s="51">
        <f t="shared" si="12"/>
        <v>44294.584499999881</v>
      </c>
    </row>
    <row r="50" spans="1:17">
      <c r="A50" s="52" t="s">
        <v>133</v>
      </c>
      <c r="B50" s="53" t="s">
        <v>43</v>
      </c>
      <c r="C50" s="54">
        <v>59313.085500000045</v>
      </c>
      <c r="D50" s="52" t="s">
        <v>48</v>
      </c>
      <c r="E50" s="1">
        <f t="shared" si="7"/>
        <v>6582.0792478194526</v>
      </c>
      <c r="F50" s="1">
        <f t="shared" si="8"/>
        <v>6582</v>
      </c>
      <c r="G50" s="1">
        <f t="shared" si="9"/>
        <v>0.20196600004419452</v>
      </c>
      <c r="K50" s="1">
        <f t="shared" si="10"/>
        <v>0.20196600004419452</v>
      </c>
      <c r="O50" s="1">
        <f t="shared" ca="1" si="11"/>
        <v>0.22522159444236878</v>
      </c>
      <c r="Q50" s="51">
        <f t="shared" si="12"/>
        <v>44294.585500000045</v>
      </c>
    </row>
    <row r="51" spans="1:17">
      <c r="A51" s="52" t="s">
        <v>133</v>
      </c>
      <c r="B51" s="53" t="s">
        <v>43</v>
      </c>
      <c r="C51" s="54">
        <v>59313.086500000209</v>
      </c>
      <c r="D51" s="52" t="s">
        <v>128</v>
      </c>
      <c r="E51" s="1">
        <f t="shared" si="7"/>
        <v>6582.0796402014994</v>
      </c>
      <c r="F51" s="1">
        <f t="shared" si="8"/>
        <v>6582</v>
      </c>
      <c r="G51" s="1">
        <f t="shared" si="9"/>
        <v>0.20296600020810729</v>
      </c>
      <c r="K51" s="1">
        <f t="shared" si="10"/>
        <v>0.20296600020810729</v>
      </c>
      <c r="O51" s="1">
        <f t="shared" ca="1" si="11"/>
        <v>0.22522159444236878</v>
      </c>
      <c r="Q51" s="51">
        <f t="shared" si="12"/>
        <v>44294.586500000209</v>
      </c>
    </row>
    <row r="52" spans="1:17">
      <c r="A52" s="52" t="s">
        <v>134</v>
      </c>
      <c r="B52" s="53" t="s">
        <v>43</v>
      </c>
      <c r="C52" s="54">
        <v>59315.63599999994</v>
      </c>
      <c r="D52" s="52">
        <v>2E-3</v>
      </c>
      <c r="E52" s="1">
        <f t="shared" si="7"/>
        <v>6583.0800180652432</v>
      </c>
      <c r="F52" s="1">
        <f t="shared" si="8"/>
        <v>6583</v>
      </c>
      <c r="G52" s="1">
        <f t="shared" si="9"/>
        <v>0.2039289999374887</v>
      </c>
      <c r="K52" s="1">
        <f t="shared" si="10"/>
        <v>0.2039289999374887</v>
      </c>
      <c r="O52" s="1">
        <f t="shared" ca="1" si="11"/>
        <v>0.22526080177451746</v>
      </c>
      <c r="Q52" s="51">
        <f t="shared" si="12"/>
        <v>44297.13599999994</v>
      </c>
    </row>
    <row r="53" spans="1:17">
      <c r="A53" s="52" t="s">
        <v>134</v>
      </c>
      <c r="B53" s="53" t="s">
        <v>43</v>
      </c>
      <c r="C53" s="54">
        <v>59361.512999999803</v>
      </c>
      <c r="D53" s="52">
        <v>0.02</v>
      </c>
      <c r="E53" s="1">
        <f t="shared" si="7"/>
        <v>6601.081326266718</v>
      </c>
      <c r="F53" s="1">
        <f t="shared" si="8"/>
        <v>6601</v>
      </c>
      <c r="G53" s="1">
        <f t="shared" si="9"/>
        <v>0.20726299980015028</v>
      </c>
      <c r="K53" s="1">
        <f t="shared" si="10"/>
        <v>0.20726299980015028</v>
      </c>
      <c r="O53" s="1">
        <f t="shared" ca="1" si="11"/>
        <v>0.2259665337531937</v>
      </c>
      <c r="Q53" s="51">
        <f t="shared" si="12"/>
        <v>44343.012999999803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workbookViewId="0">
      <selection activeCell="A21" sqref="A21"/>
    </sheetView>
  </sheetViews>
  <sheetFormatPr defaultRowHeight="12.75"/>
  <cols>
    <col min="1" max="1" width="19.7109375" style="26" customWidth="1"/>
    <col min="2" max="2" width="4.42578125" customWidth="1"/>
    <col min="3" max="3" width="12.7109375" style="26" customWidth="1"/>
    <col min="4" max="4" width="5.42578125" customWidth="1"/>
    <col min="5" max="5" width="14.85546875" customWidth="1"/>
    <col min="7" max="7" width="12" customWidth="1"/>
    <col min="8" max="8" width="14.140625" style="26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39" t="s">
        <v>68</v>
      </c>
      <c r="I1" s="40" t="s">
        <v>69</v>
      </c>
      <c r="J1" s="41" t="s">
        <v>35</v>
      </c>
    </row>
    <row r="2" spans="1:16">
      <c r="I2" s="42" t="s">
        <v>70</v>
      </c>
      <c r="J2" s="43" t="s">
        <v>34</v>
      </c>
    </row>
    <row r="3" spans="1:16">
      <c r="A3" s="44" t="s">
        <v>71</v>
      </c>
      <c r="I3" s="42" t="s">
        <v>72</v>
      </c>
      <c r="J3" s="43" t="s">
        <v>32</v>
      </c>
    </row>
    <row r="4" spans="1:16">
      <c r="I4" s="42" t="s">
        <v>73</v>
      </c>
      <c r="J4" s="43" t="s">
        <v>32</v>
      </c>
    </row>
    <row r="5" spans="1:16">
      <c r="I5" s="45" t="s">
        <v>74</v>
      </c>
      <c r="J5" s="46" t="s">
        <v>33</v>
      </c>
    </row>
    <row r="11" spans="1:16" ht="12.75" customHeight="1">
      <c r="A11" s="26" t="str">
        <f t="shared" ref="A11:A23" si="0">P11</f>
        <v> BBS 2 </v>
      </c>
      <c r="B11" s="15" t="str">
        <f t="shared" ref="B11:B23" si="1">IF(H11=INT(H11),"I","II")</f>
        <v>I</v>
      </c>
      <c r="C11" s="26">
        <f t="shared" ref="C11:C23" si="2">1*G11</f>
        <v>41391.548000000003</v>
      </c>
      <c r="D11" t="str">
        <f t="shared" ref="D11:D23" si="3">VLOOKUP(F11,I$1:J$5,2,FALSE)</f>
        <v>vis</v>
      </c>
      <c r="E11">
        <f>VLOOKUP(C11,Active!C$21:E$973,3,FALSE)</f>
        <v>-450.00916211928569</v>
      </c>
      <c r="F11" s="15" t="s">
        <v>74</v>
      </c>
      <c r="G11" t="str">
        <f t="shared" ref="G11:G23" si="4">MID(I11,3,LEN(I11)-3)</f>
        <v>41391.548</v>
      </c>
      <c r="H11" s="26">
        <f t="shared" ref="H11:H23" si="5">1*K11</f>
        <v>-450</v>
      </c>
      <c r="I11" s="47" t="s">
        <v>75</v>
      </c>
      <c r="J11" s="48" t="s">
        <v>76</v>
      </c>
      <c r="K11" s="47">
        <v>-450</v>
      </c>
      <c r="L11" s="47" t="s">
        <v>77</v>
      </c>
      <c r="M11" s="48" t="s">
        <v>78</v>
      </c>
      <c r="N11" s="48"/>
      <c r="O11" s="49" t="s">
        <v>79</v>
      </c>
      <c r="P11" s="49" t="s">
        <v>80</v>
      </c>
    </row>
    <row r="12" spans="1:16" ht="12.75" customHeight="1">
      <c r="A12" s="26" t="str">
        <f t="shared" si="0"/>
        <v> BBS 15 </v>
      </c>
      <c r="B12" s="15" t="str">
        <f t="shared" si="1"/>
        <v>I</v>
      </c>
      <c r="C12" s="26">
        <f t="shared" si="2"/>
        <v>42148.464999999997</v>
      </c>
      <c r="D12" t="str">
        <f t="shared" si="3"/>
        <v>vis</v>
      </c>
      <c r="E12">
        <f>VLOOKUP(C12,Active!C$21:E$973,3,FALSE)</f>
        <v>-153.00856923011278</v>
      </c>
      <c r="F12" s="15" t="s">
        <v>74</v>
      </c>
      <c r="G12" t="str">
        <f t="shared" si="4"/>
        <v>42148.465</v>
      </c>
      <c r="H12" s="26">
        <f t="shared" si="5"/>
        <v>-153</v>
      </c>
      <c r="I12" s="47" t="s">
        <v>81</v>
      </c>
      <c r="J12" s="48" t="s">
        <v>82</v>
      </c>
      <c r="K12" s="47">
        <v>-153</v>
      </c>
      <c r="L12" s="47" t="s">
        <v>83</v>
      </c>
      <c r="M12" s="48" t="s">
        <v>78</v>
      </c>
      <c r="N12" s="48"/>
      <c r="O12" s="49" t="s">
        <v>79</v>
      </c>
      <c r="P12" s="49" t="s">
        <v>84</v>
      </c>
    </row>
    <row r="13" spans="1:16" ht="12.75" customHeight="1">
      <c r="A13" s="26" t="str">
        <f t="shared" si="0"/>
        <v> BBS 22 </v>
      </c>
      <c r="B13" s="15" t="str">
        <f t="shared" si="1"/>
        <v>I</v>
      </c>
      <c r="C13" s="26">
        <f t="shared" si="2"/>
        <v>42538.411</v>
      </c>
      <c r="D13" t="str">
        <f t="shared" si="3"/>
        <v>vis</v>
      </c>
      <c r="E13">
        <f>VLOOKUP(C13,Active!C$21:E$973,3,FALSE)</f>
        <v>-7.8476396474034063E-4</v>
      </c>
      <c r="F13" s="15" t="s">
        <v>74</v>
      </c>
      <c r="G13" t="str">
        <f t="shared" si="4"/>
        <v>42538.411</v>
      </c>
      <c r="H13" s="26">
        <f t="shared" si="5"/>
        <v>0</v>
      </c>
      <c r="I13" s="47" t="s">
        <v>85</v>
      </c>
      <c r="J13" s="48" t="s">
        <v>86</v>
      </c>
      <c r="K13" s="47">
        <v>0</v>
      </c>
      <c r="L13" s="47" t="s">
        <v>87</v>
      </c>
      <c r="M13" s="48" t="s">
        <v>78</v>
      </c>
      <c r="N13" s="48"/>
      <c r="O13" s="49" t="s">
        <v>79</v>
      </c>
      <c r="P13" s="49" t="s">
        <v>88</v>
      </c>
    </row>
    <row r="14" spans="1:16" ht="12.75" customHeight="1">
      <c r="A14" s="26" t="str">
        <f t="shared" si="0"/>
        <v> BBS 60 </v>
      </c>
      <c r="B14" s="15" t="str">
        <f t="shared" si="1"/>
        <v>I</v>
      </c>
      <c r="C14" s="26">
        <f t="shared" si="2"/>
        <v>45079.336000000003</v>
      </c>
      <c r="D14" t="str">
        <f t="shared" si="3"/>
        <v>vis</v>
      </c>
      <c r="E14">
        <f>VLOOKUP(C14,Active!C$21:E$973,3,FALSE)</f>
        <v>997.01240358684311</v>
      </c>
      <c r="F14" s="15" t="s">
        <v>74</v>
      </c>
      <c r="G14" t="str">
        <f t="shared" si="4"/>
        <v>45079.336</v>
      </c>
      <c r="H14" s="26">
        <f t="shared" si="5"/>
        <v>997</v>
      </c>
      <c r="I14" s="47" t="s">
        <v>89</v>
      </c>
      <c r="J14" s="48" t="s">
        <v>90</v>
      </c>
      <c r="K14" s="47">
        <v>997</v>
      </c>
      <c r="L14" s="47" t="s">
        <v>91</v>
      </c>
      <c r="M14" s="48" t="s">
        <v>78</v>
      </c>
      <c r="N14" s="48"/>
      <c r="O14" s="49" t="s">
        <v>79</v>
      </c>
      <c r="P14" s="49" t="s">
        <v>92</v>
      </c>
    </row>
    <row r="15" spans="1:16" ht="12.75" customHeight="1">
      <c r="A15" s="26" t="str">
        <f t="shared" si="0"/>
        <v> BBS 66 </v>
      </c>
      <c r="B15" s="15" t="str">
        <f t="shared" si="1"/>
        <v>I</v>
      </c>
      <c r="C15" s="26">
        <f t="shared" si="2"/>
        <v>45474.355000000003</v>
      </c>
      <c r="D15" t="str">
        <f t="shared" si="3"/>
        <v>vis</v>
      </c>
      <c r="E15">
        <f>VLOOKUP(C15,Active!C$21:E$973,3,FALSE)</f>
        <v>1152.0107418491482</v>
      </c>
      <c r="F15" s="15" t="s">
        <v>74</v>
      </c>
      <c r="G15" t="str">
        <f t="shared" si="4"/>
        <v>45474.355</v>
      </c>
      <c r="H15" s="26">
        <f t="shared" si="5"/>
        <v>1152</v>
      </c>
      <c r="I15" s="47" t="s">
        <v>93</v>
      </c>
      <c r="J15" s="48" t="s">
        <v>94</v>
      </c>
      <c r="K15" s="47">
        <v>1152</v>
      </c>
      <c r="L15" s="47" t="s">
        <v>95</v>
      </c>
      <c r="M15" s="48" t="s">
        <v>78</v>
      </c>
      <c r="N15" s="48"/>
      <c r="O15" s="49" t="s">
        <v>79</v>
      </c>
      <c r="P15" s="49" t="s">
        <v>96</v>
      </c>
    </row>
    <row r="16" spans="1:16" ht="12.75" customHeight="1">
      <c r="A16" s="26" t="str">
        <f t="shared" si="0"/>
        <v> BBS 71 </v>
      </c>
      <c r="B16" s="15" t="str">
        <f t="shared" si="1"/>
        <v>I</v>
      </c>
      <c r="C16" s="26">
        <f t="shared" si="2"/>
        <v>45749.557000000001</v>
      </c>
      <c r="D16" t="str">
        <f t="shared" si="3"/>
        <v>vis</v>
      </c>
      <c r="E16">
        <f>VLOOKUP(C16,Active!C$21:E$973,3,FALSE)</f>
        <v>1259.9950481393835</v>
      </c>
      <c r="F16" s="15" t="s">
        <v>74</v>
      </c>
      <c r="G16" t="str">
        <f t="shared" si="4"/>
        <v>45749.557</v>
      </c>
      <c r="H16" s="26">
        <f t="shared" si="5"/>
        <v>1260</v>
      </c>
      <c r="I16" s="47" t="s">
        <v>97</v>
      </c>
      <c r="J16" s="48" t="s">
        <v>98</v>
      </c>
      <c r="K16" s="47">
        <v>1260</v>
      </c>
      <c r="L16" s="47" t="s">
        <v>99</v>
      </c>
      <c r="M16" s="48" t="s">
        <v>78</v>
      </c>
      <c r="N16" s="48"/>
      <c r="O16" s="49" t="s">
        <v>79</v>
      </c>
      <c r="P16" s="49" t="s">
        <v>100</v>
      </c>
    </row>
    <row r="17" spans="1:16" ht="12.75" customHeight="1">
      <c r="A17" s="26" t="str">
        <f t="shared" si="0"/>
        <v> BBS 83 </v>
      </c>
      <c r="B17" s="15" t="str">
        <f t="shared" si="1"/>
        <v>I</v>
      </c>
      <c r="C17" s="26">
        <f t="shared" si="2"/>
        <v>46924.472999999998</v>
      </c>
      <c r="D17" t="str">
        <f t="shared" si="3"/>
        <v>vis</v>
      </c>
      <c r="E17">
        <f>VLOOKUP(C17,Active!C$21:E$973,3,FALSE)</f>
        <v>1721.0109172438922</v>
      </c>
      <c r="F17" s="15" t="s">
        <v>74</v>
      </c>
      <c r="G17" t="str">
        <f t="shared" si="4"/>
        <v>46924.473</v>
      </c>
      <c r="H17" s="26">
        <f t="shared" si="5"/>
        <v>1721</v>
      </c>
      <c r="I17" s="47" t="s">
        <v>101</v>
      </c>
      <c r="J17" s="48" t="s">
        <v>102</v>
      </c>
      <c r="K17" s="47">
        <v>1721</v>
      </c>
      <c r="L17" s="47" t="s">
        <v>103</v>
      </c>
      <c r="M17" s="48" t="s">
        <v>78</v>
      </c>
      <c r="N17" s="48"/>
      <c r="O17" s="49" t="s">
        <v>104</v>
      </c>
      <c r="P17" s="49" t="s">
        <v>105</v>
      </c>
    </row>
    <row r="18" spans="1:16" ht="12.75" customHeight="1">
      <c r="A18" s="26" t="str">
        <f t="shared" si="0"/>
        <v> BBS 116 </v>
      </c>
      <c r="B18" s="15" t="str">
        <f t="shared" si="1"/>
        <v>I</v>
      </c>
      <c r="C18" s="26">
        <f t="shared" si="2"/>
        <v>50571.495999999999</v>
      </c>
      <c r="D18" t="str">
        <f t="shared" si="3"/>
        <v>vis</v>
      </c>
      <c r="E18">
        <f>VLOOKUP(C18,Active!C$21:E$973,3,FALSE)</f>
        <v>3152.0370314419602</v>
      </c>
      <c r="F18" s="15" t="s">
        <v>74</v>
      </c>
      <c r="G18" t="str">
        <f t="shared" si="4"/>
        <v>50571.496</v>
      </c>
      <c r="H18" s="26">
        <f t="shared" si="5"/>
        <v>3152</v>
      </c>
      <c r="I18" s="47" t="s">
        <v>106</v>
      </c>
      <c r="J18" s="48" t="s">
        <v>107</v>
      </c>
      <c r="K18" s="47">
        <v>3152</v>
      </c>
      <c r="L18" s="47" t="s">
        <v>108</v>
      </c>
      <c r="M18" s="48" t="s">
        <v>109</v>
      </c>
      <c r="N18" s="48" t="s">
        <v>110</v>
      </c>
      <c r="O18" s="49" t="s">
        <v>104</v>
      </c>
      <c r="P18" s="49" t="s">
        <v>111</v>
      </c>
    </row>
    <row r="19" spans="1:16" ht="12.75" customHeight="1">
      <c r="A19" s="26" t="str">
        <f t="shared" si="0"/>
        <v>IBVS 5992 </v>
      </c>
      <c r="B19" s="15" t="str">
        <f t="shared" si="1"/>
        <v>I</v>
      </c>
      <c r="C19" s="26">
        <f t="shared" si="2"/>
        <v>55632.957199999997</v>
      </c>
      <c r="D19" t="str">
        <f t="shared" si="3"/>
        <v>vis</v>
      </c>
      <c r="E19">
        <f>VLOOKUP(C19,Active!C$21:E$973,3,FALSE)</f>
        <v>5138.063210383054</v>
      </c>
      <c r="F19" s="15" t="s">
        <v>74</v>
      </c>
      <c r="G19" t="str">
        <f t="shared" si="4"/>
        <v>55632.9572</v>
      </c>
      <c r="H19" s="26">
        <f t="shared" si="5"/>
        <v>5138</v>
      </c>
      <c r="I19" s="47" t="s">
        <v>112</v>
      </c>
      <c r="J19" s="48" t="s">
        <v>113</v>
      </c>
      <c r="K19" s="47">
        <v>5138</v>
      </c>
      <c r="L19" s="47" t="s">
        <v>114</v>
      </c>
      <c r="M19" s="48" t="s">
        <v>115</v>
      </c>
      <c r="N19" s="48" t="s">
        <v>74</v>
      </c>
      <c r="O19" s="49" t="s">
        <v>116</v>
      </c>
      <c r="P19" s="50" t="s">
        <v>117</v>
      </c>
    </row>
    <row r="20" spans="1:16" ht="12.75" customHeight="1">
      <c r="A20" s="26" t="str">
        <f t="shared" si="0"/>
        <v>IBVS 5992 </v>
      </c>
      <c r="B20" s="15" t="str">
        <f t="shared" si="1"/>
        <v>I</v>
      </c>
      <c r="C20" s="26">
        <f t="shared" si="2"/>
        <v>55673.731500000002</v>
      </c>
      <c r="D20" t="str">
        <f t="shared" si="3"/>
        <v>vis</v>
      </c>
      <c r="E20">
        <f>VLOOKUP(C20,Active!C$21:E$973,3,FALSE)</f>
        <v>5154.0623110435517</v>
      </c>
      <c r="F20" s="15" t="s">
        <v>74</v>
      </c>
      <c r="G20" t="str">
        <f t="shared" si="4"/>
        <v>55673.7315</v>
      </c>
      <c r="H20" s="26">
        <f t="shared" si="5"/>
        <v>5154</v>
      </c>
      <c r="I20" s="47" t="s">
        <v>118</v>
      </c>
      <c r="J20" s="48" t="s">
        <v>119</v>
      </c>
      <c r="K20" s="47">
        <v>5154</v>
      </c>
      <c r="L20" s="47" t="s">
        <v>120</v>
      </c>
      <c r="M20" s="48" t="s">
        <v>115</v>
      </c>
      <c r="N20" s="48" t="s">
        <v>74</v>
      </c>
      <c r="O20" s="49" t="s">
        <v>116</v>
      </c>
      <c r="P20" s="50" t="s">
        <v>117</v>
      </c>
    </row>
    <row r="21" spans="1:16" ht="12.75" customHeight="1">
      <c r="A21" s="26" t="str">
        <f t="shared" si="0"/>
        <v> IODE 4.3.72 </v>
      </c>
      <c r="B21" s="15" t="str">
        <f t="shared" si="1"/>
        <v>I</v>
      </c>
      <c r="C21" s="26">
        <f t="shared" si="2"/>
        <v>31261.196</v>
      </c>
      <c r="D21" t="str">
        <f t="shared" si="3"/>
        <v>vis</v>
      </c>
      <c r="E21">
        <f>VLOOKUP(C21,Active!C$21:E$973,3,FALSE)</f>
        <v>-4424.9767611770994</v>
      </c>
      <c r="F21" s="15" t="s">
        <v>74</v>
      </c>
      <c r="G21" t="str">
        <f t="shared" si="4"/>
        <v>31261.196</v>
      </c>
      <c r="H21" s="26">
        <f t="shared" si="5"/>
        <v>-4425</v>
      </c>
      <c r="I21" s="47" t="s">
        <v>121</v>
      </c>
      <c r="J21" s="48" t="s">
        <v>122</v>
      </c>
      <c r="K21" s="47">
        <v>-4425</v>
      </c>
      <c r="L21" s="47" t="s">
        <v>123</v>
      </c>
      <c r="M21" s="48" t="s">
        <v>78</v>
      </c>
      <c r="N21" s="48"/>
      <c r="O21" s="49" t="s">
        <v>124</v>
      </c>
      <c r="P21" s="49" t="s">
        <v>42</v>
      </c>
    </row>
    <row r="22" spans="1:16" ht="12.75" customHeight="1">
      <c r="A22" s="26" t="str">
        <f t="shared" si="0"/>
        <v>VSB 48 </v>
      </c>
      <c r="B22" s="15" t="str">
        <f t="shared" si="1"/>
        <v>I</v>
      </c>
      <c r="C22" s="26">
        <f t="shared" si="2"/>
        <v>54593.135399999999</v>
      </c>
      <c r="D22" t="str">
        <f t="shared" si="3"/>
        <v>vis</v>
      </c>
      <c r="E22">
        <f>VLOOKUP(C22,Active!C$21:E$973,3,FALSE)</f>
        <v>4730.0558712704578</v>
      </c>
      <c r="F22" s="15" t="s">
        <v>74</v>
      </c>
      <c r="G22" t="str">
        <f t="shared" si="4"/>
        <v>54593.1354</v>
      </c>
      <c r="H22" s="26">
        <f t="shared" si="5"/>
        <v>4730</v>
      </c>
      <c r="I22" s="47" t="s">
        <v>125</v>
      </c>
      <c r="J22" s="48" t="s">
        <v>126</v>
      </c>
      <c r="K22" s="47">
        <v>4730</v>
      </c>
      <c r="L22" s="47" t="s">
        <v>127</v>
      </c>
      <c r="M22" s="48" t="s">
        <v>115</v>
      </c>
      <c r="N22" s="48" t="s">
        <v>128</v>
      </c>
      <c r="O22" s="49" t="s">
        <v>129</v>
      </c>
      <c r="P22" s="50" t="s">
        <v>63</v>
      </c>
    </row>
    <row r="23" spans="1:16" ht="12.75" customHeight="1">
      <c r="A23" s="26" t="str">
        <f t="shared" si="0"/>
        <v>VSB 50 </v>
      </c>
      <c r="B23" s="15" t="str">
        <f t="shared" si="1"/>
        <v>I</v>
      </c>
      <c r="C23" s="26">
        <f t="shared" si="2"/>
        <v>54863.286699999997</v>
      </c>
      <c r="D23" t="str">
        <f t="shared" si="3"/>
        <v>vis</v>
      </c>
      <c r="E23">
        <f>VLOOKUP(C23,Active!C$21:E$973,3,FALSE)</f>
        <v>4836.0583738827399</v>
      </c>
      <c r="F23" s="15" t="s">
        <v>74</v>
      </c>
      <c r="G23" t="str">
        <f t="shared" si="4"/>
        <v>54863.2867</v>
      </c>
      <c r="H23" s="26">
        <f t="shared" si="5"/>
        <v>4836</v>
      </c>
      <c r="I23" s="47" t="s">
        <v>130</v>
      </c>
      <c r="J23" s="48" t="s">
        <v>131</v>
      </c>
      <c r="K23" s="47">
        <v>4836</v>
      </c>
      <c r="L23" s="47" t="s">
        <v>132</v>
      </c>
      <c r="M23" s="48" t="s">
        <v>115</v>
      </c>
      <c r="N23" s="48" t="s">
        <v>74</v>
      </c>
      <c r="O23" s="49" t="s">
        <v>129</v>
      </c>
      <c r="P23" s="50" t="s">
        <v>64</v>
      </c>
    </row>
  </sheetData>
  <sheetProtection selectLockedCells="1" selectUnlockedCells="1"/>
  <hyperlinks>
    <hyperlink ref="P19" r:id="rId1"/>
    <hyperlink ref="P20" r:id="rId2"/>
    <hyperlink ref="P22" r:id="rId3"/>
    <hyperlink ref="P23" r:id="rId4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2023-01-25T07:26:47Z</dcterms:created>
  <dcterms:modified xsi:type="dcterms:W3CDTF">2023-01-25T07:27:09Z</dcterms:modified>
</cp:coreProperties>
</file>