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E09F829-4F71-4835-B8D3-DCEE6E091B21}" xr6:coauthVersionLast="47" xr6:coauthVersionMax="47" xr10:uidLastSave="{00000000-0000-0000-0000-000000000000}"/>
  <bookViews>
    <workbookView xWindow="13740" yWindow="960" windowWidth="12585" windowHeight="14295"/>
  </bookViews>
  <sheets>
    <sheet name="Active" sheetId="3" r:id="rId1"/>
    <sheet name="A (old)" sheetId="1" r:id="rId2"/>
    <sheet name="B" sheetId="2" r:id="rId3"/>
    <sheet name="BAV" sheetId="4" r:id="rId4"/>
  </sheets>
  <calcPr calcId="181029"/>
</workbook>
</file>

<file path=xl/calcChain.xml><?xml version="1.0" encoding="utf-8"?>
<calcChain xmlns="http://schemas.openxmlformats.org/spreadsheetml/2006/main">
  <c r="E84" i="3" l="1"/>
  <c r="F84" i="3" s="1"/>
  <c r="G84" i="3" s="1"/>
  <c r="K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/>
  <c r="G87" i="3"/>
  <c r="K87" i="3" s="1"/>
  <c r="Q87" i="3"/>
  <c r="E88" i="3"/>
  <c r="F88" i="3" s="1"/>
  <c r="G88" i="3" s="1"/>
  <c r="K88" i="3" s="1"/>
  <c r="Q88" i="3"/>
  <c r="C7" i="3"/>
  <c r="C9" i="3"/>
  <c r="D9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H25" i="3"/>
  <c r="Q25" i="3"/>
  <c r="E26" i="3"/>
  <c r="F26" i="3"/>
  <c r="G26" i="3"/>
  <c r="H26" i="3"/>
  <c r="Q26" i="3"/>
  <c r="E27" i="3"/>
  <c r="F27" i="3"/>
  <c r="G27" i="3"/>
  <c r="H27" i="3"/>
  <c r="Q27" i="3"/>
  <c r="E28" i="3"/>
  <c r="F28" i="3"/>
  <c r="G28" i="3"/>
  <c r="H28" i="3"/>
  <c r="Q28" i="3"/>
  <c r="E29" i="3"/>
  <c r="F29" i="3"/>
  <c r="G29" i="3"/>
  <c r="H29" i="3"/>
  <c r="Q29" i="3"/>
  <c r="E30" i="3"/>
  <c r="F30" i="3"/>
  <c r="G30" i="3"/>
  <c r="H30" i="3"/>
  <c r="Q30" i="3"/>
  <c r="E31" i="3"/>
  <c r="F31" i="3"/>
  <c r="G31" i="3"/>
  <c r="H31" i="3"/>
  <c r="Q31" i="3"/>
  <c r="E32" i="3"/>
  <c r="F32" i="3"/>
  <c r="G32" i="3"/>
  <c r="Q32" i="3"/>
  <c r="E33" i="3"/>
  <c r="F33" i="3"/>
  <c r="G33" i="3"/>
  <c r="I33" i="3"/>
  <c r="Q33" i="3"/>
  <c r="E34" i="3"/>
  <c r="F34" i="3"/>
  <c r="G34" i="3"/>
  <c r="I34" i="3"/>
  <c r="Q34" i="3"/>
  <c r="E35" i="3"/>
  <c r="F35" i="3"/>
  <c r="G35" i="3"/>
  <c r="J35" i="3"/>
  <c r="Q35" i="3"/>
  <c r="E36" i="3"/>
  <c r="F36" i="3"/>
  <c r="G36" i="3"/>
  <c r="J36" i="3"/>
  <c r="Q36" i="3"/>
  <c r="E37" i="3"/>
  <c r="F37" i="3"/>
  <c r="G37" i="3"/>
  <c r="I37" i="3"/>
  <c r="Q37" i="3"/>
  <c r="E38" i="3"/>
  <c r="F38" i="3"/>
  <c r="Q38" i="3"/>
  <c r="E39" i="3"/>
  <c r="F39" i="3"/>
  <c r="Q39" i="3"/>
  <c r="E40" i="3"/>
  <c r="F40" i="3"/>
  <c r="Q40" i="3"/>
  <c r="E41" i="3"/>
  <c r="F41" i="3"/>
  <c r="Q41" i="3"/>
  <c r="E42" i="3"/>
  <c r="F42" i="3"/>
  <c r="G42" i="3"/>
  <c r="I42" i="3"/>
  <c r="Q42" i="3"/>
  <c r="E43" i="3"/>
  <c r="F43" i="3"/>
  <c r="G43" i="3"/>
  <c r="J43" i="3"/>
  <c r="Q43" i="3"/>
  <c r="E44" i="3"/>
  <c r="F44" i="3"/>
  <c r="G44" i="3"/>
  <c r="K44" i="3"/>
  <c r="Q44" i="3"/>
  <c r="E45" i="3"/>
  <c r="F45" i="3"/>
  <c r="G45" i="3"/>
  <c r="K45" i="3"/>
  <c r="Q45" i="3"/>
  <c r="E46" i="3"/>
  <c r="F46" i="3"/>
  <c r="G46" i="3"/>
  <c r="K46" i="3"/>
  <c r="Q46" i="3"/>
  <c r="E47" i="3"/>
  <c r="F47" i="3"/>
  <c r="G47" i="3"/>
  <c r="K47" i="3"/>
  <c r="Q47" i="3"/>
  <c r="E48" i="3"/>
  <c r="F48" i="3"/>
  <c r="G48" i="3"/>
  <c r="K48" i="3"/>
  <c r="Q48" i="3"/>
  <c r="E49" i="3"/>
  <c r="F49" i="3"/>
  <c r="G49" i="3"/>
  <c r="J49" i="3"/>
  <c r="Q49" i="3"/>
  <c r="E50" i="3"/>
  <c r="F50" i="3"/>
  <c r="G50" i="3"/>
  <c r="K50" i="3"/>
  <c r="Q50" i="3"/>
  <c r="E51" i="3"/>
  <c r="F51" i="3"/>
  <c r="G51" i="3"/>
  <c r="K51" i="3"/>
  <c r="Q51" i="3"/>
  <c r="E52" i="3"/>
  <c r="F52" i="3"/>
  <c r="G52" i="3"/>
  <c r="K52" i="3"/>
  <c r="Q52" i="3"/>
  <c r="E53" i="3"/>
  <c r="F53" i="3"/>
  <c r="G53" i="3"/>
  <c r="K53" i="3"/>
  <c r="Q53" i="3"/>
  <c r="E54" i="3"/>
  <c r="F54" i="3"/>
  <c r="G54" i="3"/>
  <c r="K54" i="3"/>
  <c r="Q54" i="3"/>
  <c r="E55" i="3"/>
  <c r="F55" i="3"/>
  <c r="G55" i="3"/>
  <c r="K55" i="3"/>
  <c r="Q55" i="3"/>
  <c r="E56" i="3"/>
  <c r="F56" i="3"/>
  <c r="G56" i="3"/>
  <c r="K56" i="3"/>
  <c r="Q56" i="3"/>
  <c r="E57" i="3"/>
  <c r="F57" i="3"/>
  <c r="G57" i="3"/>
  <c r="K57" i="3"/>
  <c r="Q57" i="3"/>
  <c r="E58" i="3"/>
  <c r="F58" i="3"/>
  <c r="G58" i="3"/>
  <c r="J58" i="3"/>
  <c r="Q58" i="3"/>
  <c r="E59" i="3"/>
  <c r="F59" i="3"/>
  <c r="G59" i="3"/>
  <c r="K59" i="3"/>
  <c r="Q59" i="3"/>
  <c r="E60" i="3"/>
  <c r="F60" i="3"/>
  <c r="G60" i="3"/>
  <c r="K60" i="3"/>
  <c r="Q60" i="3"/>
  <c r="E61" i="3"/>
  <c r="F61" i="3"/>
  <c r="Q61" i="3"/>
  <c r="E62" i="3"/>
  <c r="F62" i="3"/>
  <c r="G62" i="3"/>
  <c r="J62" i="3"/>
  <c r="Q62" i="3"/>
  <c r="E63" i="3"/>
  <c r="F63" i="3"/>
  <c r="G63" i="3"/>
  <c r="K63" i="3"/>
  <c r="Q63" i="3"/>
  <c r="E64" i="3"/>
  <c r="F64" i="3"/>
  <c r="G64" i="3"/>
  <c r="K64" i="3"/>
  <c r="Q64" i="3"/>
  <c r="E65" i="3"/>
  <c r="F65" i="3"/>
  <c r="G65" i="3"/>
  <c r="J65" i="3"/>
  <c r="Q65" i="3"/>
  <c r="E66" i="3"/>
  <c r="F66" i="3"/>
  <c r="G66" i="3"/>
  <c r="K66" i="3"/>
  <c r="Q66" i="3"/>
  <c r="E67" i="3"/>
  <c r="F67" i="3"/>
  <c r="G67" i="3"/>
  <c r="K67" i="3"/>
  <c r="Q67" i="3"/>
  <c r="E68" i="3"/>
  <c r="F68" i="3"/>
  <c r="G68" i="3"/>
  <c r="J68" i="3"/>
  <c r="Q68" i="3"/>
  <c r="E69" i="3"/>
  <c r="F69" i="3"/>
  <c r="G69" i="3"/>
  <c r="K69" i="3"/>
  <c r="Q69" i="3"/>
  <c r="E70" i="3"/>
  <c r="F70" i="3"/>
  <c r="G70" i="3"/>
  <c r="K70" i="3"/>
  <c r="Q70" i="3"/>
  <c r="E71" i="3"/>
  <c r="F71" i="3"/>
  <c r="G71" i="3"/>
  <c r="K71" i="3"/>
  <c r="Q71" i="3"/>
  <c r="E72" i="3"/>
  <c r="F72" i="3"/>
  <c r="G72" i="3"/>
  <c r="K72" i="3"/>
  <c r="Q72" i="3"/>
  <c r="E73" i="3"/>
  <c r="F73" i="3"/>
  <c r="G73" i="3"/>
  <c r="K73" i="3"/>
  <c r="Q73" i="3"/>
  <c r="E74" i="3"/>
  <c r="F74" i="3"/>
  <c r="G74" i="3"/>
  <c r="K74" i="3"/>
  <c r="Q74" i="3"/>
  <c r="E75" i="3"/>
  <c r="F75" i="3"/>
  <c r="G75" i="3"/>
  <c r="J75" i="3"/>
  <c r="Q75" i="3"/>
  <c r="E76" i="3"/>
  <c r="F76" i="3"/>
  <c r="G76" i="3"/>
  <c r="K76" i="3"/>
  <c r="Q76" i="3"/>
  <c r="E77" i="3"/>
  <c r="F77" i="3"/>
  <c r="G77" i="3"/>
  <c r="K77" i="3"/>
  <c r="Q77" i="3"/>
  <c r="E78" i="3"/>
  <c r="F78" i="3"/>
  <c r="G78" i="3"/>
  <c r="K78" i="3"/>
  <c r="Q78" i="3"/>
  <c r="E79" i="3"/>
  <c r="F79" i="3"/>
  <c r="G79" i="3"/>
  <c r="K79" i="3"/>
  <c r="Q79" i="3"/>
  <c r="E80" i="3"/>
  <c r="F80" i="3"/>
  <c r="G80" i="3"/>
  <c r="K80" i="3"/>
  <c r="Q80" i="3"/>
  <c r="E81" i="3"/>
  <c r="F81" i="3"/>
  <c r="G81" i="3"/>
  <c r="K81" i="3"/>
  <c r="Q81" i="3"/>
  <c r="E82" i="3"/>
  <c r="F82" i="3"/>
  <c r="G82" i="3"/>
  <c r="K82" i="3"/>
  <c r="Q82" i="3"/>
  <c r="E83" i="3"/>
  <c r="F83" i="3"/>
  <c r="G83" i="3"/>
  <c r="K83" i="3"/>
  <c r="Q83" i="3"/>
  <c r="C7" i="1"/>
  <c r="C8" i="1"/>
  <c r="C18" i="1"/>
  <c r="C19" i="1"/>
  <c r="Q21" i="1"/>
  <c r="Q22" i="1"/>
  <c r="Q23" i="1"/>
  <c r="E24" i="1"/>
  <c r="F24" i="1"/>
  <c r="G24" i="1"/>
  <c r="I24" i="1"/>
  <c r="Q24" i="1"/>
  <c r="Q25" i="1"/>
  <c r="Q26" i="1"/>
  <c r="Q27" i="1"/>
  <c r="E28" i="1"/>
  <c r="F28" i="1"/>
  <c r="G28" i="1"/>
  <c r="J28" i="1"/>
  <c r="Q28" i="1"/>
  <c r="Q29" i="1"/>
  <c r="Q30" i="1"/>
  <c r="Q31" i="1"/>
  <c r="C7" i="2"/>
  <c r="C18" i="2"/>
  <c r="C19" i="2"/>
  <c r="Q21" i="2"/>
  <c r="Q22" i="2"/>
  <c r="Q23" i="2"/>
  <c r="Q24" i="2"/>
  <c r="Q25" i="2"/>
  <c r="Q26" i="2"/>
  <c r="Q27" i="2"/>
  <c r="Q28" i="2"/>
  <c r="Q29" i="2"/>
  <c r="Q30" i="2"/>
  <c r="Q31" i="2"/>
  <c r="A11" i="4"/>
  <c r="C11" i="4"/>
  <c r="E11" i="4"/>
  <c r="D11" i="4"/>
  <c r="G11" i="4"/>
  <c r="H11" i="4"/>
  <c r="B11" i="4"/>
  <c r="A12" i="4"/>
  <c r="B12" i="4"/>
  <c r="D12" i="4"/>
  <c r="G12" i="4"/>
  <c r="C12" i="4"/>
  <c r="E12" i="4"/>
  <c r="H12" i="4"/>
  <c r="A13" i="4"/>
  <c r="B13" i="4"/>
  <c r="C13" i="4"/>
  <c r="E13" i="4"/>
  <c r="D13" i="4"/>
  <c r="G13" i="4"/>
  <c r="H13" i="4"/>
  <c r="A14" i="4"/>
  <c r="B14" i="4"/>
  <c r="D14" i="4"/>
  <c r="G14" i="4"/>
  <c r="C14" i="4"/>
  <c r="E14" i="4"/>
  <c r="H14" i="4"/>
  <c r="A15" i="4"/>
  <c r="C15" i="4"/>
  <c r="D15" i="4"/>
  <c r="E15" i="4"/>
  <c r="G15" i="4"/>
  <c r="H15" i="4"/>
  <c r="B15" i="4"/>
  <c r="A16" i="4"/>
  <c r="D16" i="4"/>
  <c r="G16" i="4"/>
  <c r="C16" i="4"/>
  <c r="E16" i="4"/>
  <c r="H16" i="4"/>
  <c r="B16" i="4"/>
  <c r="A17" i="4"/>
  <c r="D17" i="4"/>
  <c r="G17" i="4"/>
  <c r="C17" i="4"/>
  <c r="E17" i="4"/>
  <c r="H17" i="4"/>
  <c r="B17" i="4"/>
  <c r="A18" i="4"/>
  <c r="D18" i="4"/>
  <c r="G18" i="4"/>
  <c r="C18" i="4"/>
  <c r="E18" i="4"/>
  <c r="H18" i="4"/>
  <c r="B18" i="4"/>
  <c r="A19" i="4"/>
  <c r="C19" i="4"/>
  <c r="E19" i="4"/>
  <c r="D19" i="4"/>
  <c r="G19" i="4"/>
  <c r="H19" i="4"/>
  <c r="B19" i="4"/>
  <c r="A20" i="4"/>
  <c r="B20" i="4"/>
  <c r="C20" i="4"/>
  <c r="E20" i="4"/>
  <c r="D20" i="4"/>
  <c r="G20" i="4"/>
  <c r="H20" i="4"/>
  <c r="A21" i="4"/>
  <c r="B21" i="4"/>
  <c r="C21" i="4"/>
  <c r="E21" i="4"/>
  <c r="D21" i="4"/>
  <c r="G21" i="4"/>
  <c r="H21" i="4"/>
  <c r="A22" i="4"/>
  <c r="B22" i="4"/>
  <c r="C22" i="4"/>
  <c r="E22" i="4"/>
  <c r="D22" i="4"/>
  <c r="G22" i="4"/>
  <c r="H22" i="4"/>
  <c r="A23" i="4"/>
  <c r="C23" i="4"/>
  <c r="D23" i="4"/>
  <c r="E23" i="4"/>
  <c r="G23" i="4"/>
  <c r="H23" i="4"/>
  <c r="B23" i="4"/>
  <c r="A24" i="4"/>
  <c r="D24" i="4"/>
  <c r="G24" i="4"/>
  <c r="C24" i="4"/>
  <c r="E24" i="4"/>
  <c r="H24" i="4"/>
  <c r="B24" i="4"/>
  <c r="A25" i="4"/>
  <c r="D25" i="4"/>
  <c r="G25" i="4"/>
  <c r="C25" i="4"/>
  <c r="E25" i="4"/>
  <c r="H25" i="4"/>
  <c r="B25" i="4"/>
  <c r="A26" i="4"/>
  <c r="D26" i="4"/>
  <c r="G26" i="4"/>
  <c r="C26" i="4"/>
  <c r="E26" i="4"/>
  <c r="H26" i="4"/>
  <c r="B26" i="4"/>
  <c r="A27" i="4"/>
  <c r="C27" i="4"/>
  <c r="E27" i="4"/>
  <c r="D27" i="4"/>
  <c r="G27" i="4"/>
  <c r="H27" i="4"/>
  <c r="B27" i="4"/>
  <c r="A28" i="4"/>
  <c r="B28" i="4"/>
  <c r="C28" i="4"/>
  <c r="E28" i="4"/>
  <c r="D28" i="4"/>
  <c r="G28" i="4"/>
  <c r="H28" i="4"/>
  <c r="A29" i="4"/>
  <c r="B29" i="4"/>
  <c r="C29" i="4"/>
  <c r="E29" i="4"/>
  <c r="D29" i="4"/>
  <c r="G29" i="4"/>
  <c r="H29" i="4"/>
  <c r="A30" i="4"/>
  <c r="B30" i="4"/>
  <c r="C30" i="4"/>
  <c r="E30" i="4"/>
  <c r="D30" i="4"/>
  <c r="G30" i="4"/>
  <c r="H30" i="4"/>
  <c r="A31" i="4"/>
  <c r="C31" i="4"/>
  <c r="D31" i="4"/>
  <c r="E31" i="4"/>
  <c r="G31" i="4"/>
  <c r="H31" i="4"/>
  <c r="B31" i="4"/>
  <c r="A32" i="4"/>
  <c r="D32" i="4"/>
  <c r="G32" i="4"/>
  <c r="C32" i="4"/>
  <c r="E32" i="4"/>
  <c r="H32" i="4"/>
  <c r="B32" i="4"/>
  <c r="A33" i="4"/>
  <c r="D33" i="4"/>
  <c r="G33" i="4"/>
  <c r="C33" i="4"/>
  <c r="E33" i="4"/>
  <c r="H33" i="4"/>
  <c r="B33" i="4"/>
  <c r="A34" i="4"/>
  <c r="D34" i="4"/>
  <c r="G34" i="4"/>
  <c r="C34" i="4"/>
  <c r="E34" i="4"/>
  <c r="H34" i="4"/>
  <c r="B34" i="4"/>
  <c r="A35" i="4"/>
  <c r="C35" i="4"/>
  <c r="E35" i="4"/>
  <c r="D35" i="4"/>
  <c r="G35" i="4"/>
  <c r="H35" i="4"/>
  <c r="B35" i="4"/>
  <c r="A36" i="4"/>
  <c r="B36" i="4"/>
  <c r="C36" i="4"/>
  <c r="E36" i="4"/>
  <c r="D36" i="4"/>
  <c r="G36" i="4"/>
  <c r="H36" i="4"/>
  <c r="A37" i="4"/>
  <c r="B37" i="4"/>
  <c r="C37" i="4"/>
  <c r="E37" i="4"/>
  <c r="D37" i="4"/>
  <c r="G37" i="4"/>
  <c r="H37" i="4"/>
  <c r="A38" i="4"/>
  <c r="B38" i="4"/>
  <c r="C38" i="4"/>
  <c r="E38" i="4"/>
  <c r="D38" i="4"/>
  <c r="G38" i="4"/>
  <c r="H38" i="4"/>
  <c r="A39" i="4"/>
  <c r="C39" i="4"/>
  <c r="D39" i="4"/>
  <c r="E39" i="4"/>
  <c r="G39" i="4"/>
  <c r="H39" i="4"/>
  <c r="B39" i="4"/>
  <c r="A40" i="4"/>
  <c r="D40" i="4"/>
  <c r="G40" i="4"/>
  <c r="C40" i="4"/>
  <c r="E40" i="4"/>
  <c r="H40" i="4"/>
  <c r="B40" i="4"/>
  <c r="A41" i="4"/>
  <c r="D41" i="4"/>
  <c r="G41" i="4"/>
  <c r="C41" i="4"/>
  <c r="E41" i="4"/>
  <c r="H41" i="4"/>
  <c r="B41" i="4"/>
  <c r="A42" i="4"/>
  <c r="D42" i="4"/>
  <c r="G42" i="4"/>
  <c r="C42" i="4"/>
  <c r="E42" i="4"/>
  <c r="H42" i="4"/>
  <c r="B42" i="4"/>
  <c r="A43" i="4"/>
  <c r="C43" i="4"/>
  <c r="E43" i="4"/>
  <c r="D43" i="4"/>
  <c r="G43" i="4"/>
  <c r="H43" i="4"/>
  <c r="B43" i="4"/>
  <c r="A44" i="4"/>
  <c r="B44" i="4"/>
  <c r="C44" i="4"/>
  <c r="E44" i="4"/>
  <c r="D44" i="4"/>
  <c r="G44" i="4"/>
  <c r="H44" i="4"/>
  <c r="A45" i="4"/>
  <c r="B45" i="4"/>
  <c r="C45" i="4"/>
  <c r="E45" i="4"/>
  <c r="D45" i="4"/>
  <c r="G45" i="4"/>
  <c r="H45" i="4"/>
  <c r="A46" i="4"/>
  <c r="B46" i="4"/>
  <c r="D46" i="4"/>
  <c r="G46" i="4"/>
  <c r="C46" i="4"/>
  <c r="E46" i="4"/>
  <c r="H46" i="4"/>
  <c r="A47" i="4"/>
  <c r="C47" i="4"/>
  <c r="D47" i="4"/>
  <c r="E47" i="4"/>
  <c r="G47" i="4"/>
  <c r="H47" i="4"/>
  <c r="B47" i="4"/>
  <c r="A48" i="4"/>
  <c r="D48" i="4"/>
  <c r="G48" i="4"/>
  <c r="C48" i="4"/>
  <c r="E48" i="4"/>
  <c r="H48" i="4"/>
  <c r="B48" i="4"/>
  <c r="A49" i="4"/>
  <c r="D49" i="4"/>
  <c r="G49" i="4"/>
  <c r="C49" i="4"/>
  <c r="E49" i="4"/>
  <c r="H49" i="4"/>
  <c r="B49" i="4"/>
  <c r="A50" i="4"/>
  <c r="D50" i="4"/>
  <c r="G50" i="4"/>
  <c r="C50" i="4"/>
  <c r="E50" i="4"/>
  <c r="H50" i="4"/>
  <c r="B50" i="4"/>
  <c r="A51" i="4"/>
  <c r="C51" i="4"/>
  <c r="E51" i="4"/>
  <c r="D51" i="4"/>
  <c r="G51" i="4"/>
  <c r="H51" i="4"/>
  <c r="B51" i="4"/>
  <c r="A52" i="4"/>
  <c r="B52" i="4"/>
  <c r="C52" i="4"/>
  <c r="E52" i="4"/>
  <c r="D52" i="4"/>
  <c r="G52" i="4"/>
  <c r="H52" i="4"/>
  <c r="A53" i="4"/>
  <c r="B53" i="4"/>
  <c r="C53" i="4"/>
  <c r="E53" i="4"/>
  <c r="D53" i="4"/>
  <c r="G53" i="4"/>
  <c r="H53" i="4"/>
  <c r="A54" i="4"/>
  <c r="B54" i="4"/>
  <c r="D54" i="4"/>
  <c r="G54" i="4"/>
  <c r="C54" i="4"/>
  <c r="E54" i="4"/>
  <c r="H54" i="4"/>
  <c r="A55" i="4"/>
  <c r="C55" i="4"/>
  <c r="D55" i="4"/>
  <c r="E55" i="4"/>
  <c r="G55" i="4"/>
  <c r="H55" i="4"/>
  <c r="B55" i="4"/>
  <c r="G21" i="2"/>
  <c r="E29" i="2"/>
  <c r="F29" i="2"/>
  <c r="G26" i="2"/>
  <c r="J26" i="2"/>
  <c r="E25" i="2"/>
  <c r="F25" i="2"/>
  <c r="G25" i="2"/>
  <c r="I25" i="2"/>
  <c r="E21" i="2"/>
  <c r="F21" i="2"/>
  <c r="E29" i="1"/>
  <c r="F29" i="1"/>
  <c r="G29" i="1"/>
  <c r="K29" i="1"/>
  <c r="E25" i="1"/>
  <c r="F25" i="1"/>
  <c r="G25" i="1"/>
  <c r="I25" i="1"/>
  <c r="E21" i="1"/>
  <c r="F21" i="1"/>
  <c r="G21" i="1"/>
  <c r="E30" i="2"/>
  <c r="F30" i="2"/>
  <c r="G30" i="2"/>
  <c r="K30" i="2"/>
  <c r="G27" i="2"/>
  <c r="J27" i="2"/>
  <c r="E26" i="2"/>
  <c r="F26" i="2"/>
  <c r="E22" i="2"/>
  <c r="F22" i="2"/>
  <c r="G22" i="2"/>
  <c r="J22" i="2"/>
  <c r="E30" i="1"/>
  <c r="F30" i="1"/>
  <c r="G30" i="1"/>
  <c r="K30" i="1"/>
  <c r="E26" i="1"/>
  <c r="F26" i="1"/>
  <c r="G26" i="1"/>
  <c r="J26" i="1"/>
  <c r="E22" i="1"/>
  <c r="F22" i="1"/>
  <c r="G22" i="1"/>
  <c r="J22" i="1"/>
  <c r="E31" i="2"/>
  <c r="F31" i="2"/>
  <c r="G31" i="2"/>
  <c r="L31" i="2"/>
  <c r="E27" i="2"/>
  <c r="F27" i="2"/>
  <c r="E23" i="2"/>
  <c r="F23" i="2"/>
  <c r="G23" i="2"/>
  <c r="J23" i="2"/>
  <c r="E31" i="1"/>
  <c r="F31" i="1"/>
  <c r="G31" i="1"/>
  <c r="L31" i="1"/>
  <c r="E27" i="1"/>
  <c r="F27" i="1"/>
  <c r="G27" i="1"/>
  <c r="J27" i="1"/>
  <c r="E23" i="1"/>
  <c r="F23" i="1"/>
  <c r="G23" i="1"/>
  <c r="J23" i="1"/>
  <c r="G29" i="2"/>
  <c r="K29" i="2"/>
  <c r="E28" i="2"/>
  <c r="F28" i="2"/>
  <c r="G28" i="2"/>
  <c r="J28" i="2"/>
  <c r="E24" i="2"/>
  <c r="F24" i="2"/>
  <c r="G24" i="2"/>
  <c r="I24" i="2"/>
  <c r="C11" i="2"/>
  <c r="C12" i="2"/>
  <c r="C16" i="2"/>
  <c r="D18" i="2"/>
  <c r="H21" i="2"/>
  <c r="C12" i="1"/>
  <c r="C16" i="1"/>
  <c r="D18" i="1"/>
  <c r="H21" i="1"/>
  <c r="C11" i="1"/>
  <c r="O22" i="2"/>
  <c r="O26" i="2"/>
  <c r="O30" i="2"/>
  <c r="O21" i="2"/>
  <c r="O25" i="2"/>
  <c r="O29" i="2"/>
  <c r="O24" i="2"/>
  <c r="O28" i="2"/>
  <c r="O23" i="2"/>
  <c r="O27" i="2"/>
  <c r="O31" i="2"/>
  <c r="O21" i="1"/>
  <c r="O25" i="1"/>
  <c r="O29" i="1"/>
  <c r="O24" i="1"/>
  <c r="O28" i="1"/>
  <c r="O23" i="1"/>
  <c r="O27" i="1"/>
  <c r="O31" i="1"/>
  <c r="O22" i="1"/>
  <c r="O26" i="1"/>
  <c r="O30" i="1"/>
  <c r="C12" i="3"/>
  <c r="C11" i="3"/>
  <c r="O86" i="3" l="1"/>
  <c r="O85" i="3"/>
  <c r="O84" i="3"/>
  <c r="O88" i="3"/>
  <c r="O87" i="3"/>
  <c r="O30" i="3"/>
  <c r="O66" i="3"/>
  <c r="O62" i="3"/>
  <c r="O34" i="3"/>
  <c r="O41" i="3"/>
  <c r="O24" i="3"/>
  <c r="O47" i="3"/>
  <c r="O51" i="3"/>
  <c r="O57" i="3"/>
  <c r="O72" i="3"/>
  <c r="O31" i="3"/>
  <c r="O69" i="3"/>
  <c r="O76" i="3"/>
  <c r="O53" i="3"/>
  <c r="O78" i="3"/>
  <c r="O82" i="3"/>
  <c r="O75" i="3"/>
  <c r="O29" i="3"/>
  <c r="O70" i="3"/>
  <c r="O65" i="3"/>
  <c r="O39" i="3"/>
  <c r="O48" i="3"/>
  <c r="O28" i="3"/>
  <c r="O50" i="3"/>
  <c r="O54" i="3"/>
  <c r="O81" i="3"/>
  <c r="O64" i="3"/>
  <c r="O63" i="3"/>
  <c r="O33" i="3"/>
  <c r="O37" i="3"/>
  <c r="O44" i="3"/>
  <c r="O79" i="3"/>
  <c r="O23" i="3"/>
  <c r="O26" i="3"/>
  <c r="C15" i="3"/>
  <c r="O68" i="3"/>
  <c r="O43" i="3"/>
  <c r="O45" i="3"/>
  <c r="O22" i="3"/>
  <c r="O25" i="3"/>
  <c r="O59" i="3"/>
  <c r="O32" i="3"/>
  <c r="O36" i="3"/>
  <c r="O40" i="3"/>
  <c r="O74" i="3"/>
  <c r="O80" i="3"/>
  <c r="O49" i="3"/>
  <c r="O60" i="3"/>
  <c r="O61" i="3"/>
  <c r="O35" i="3"/>
  <c r="O38" i="3"/>
  <c r="O77" i="3"/>
  <c r="O83" i="3"/>
  <c r="O58" i="3"/>
  <c r="O27" i="3"/>
  <c r="O67" i="3"/>
  <c r="O71" i="3"/>
  <c r="O42" i="3"/>
  <c r="O46" i="3"/>
  <c r="O52" i="3"/>
  <c r="O21" i="3"/>
  <c r="O55" i="3"/>
  <c r="O73" i="3"/>
  <c r="O56" i="3"/>
  <c r="C16" i="3"/>
  <c r="D18" i="3" s="1"/>
  <c r="C18" i="3" l="1"/>
  <c r="F18" i="3"/>
  <c r="F19" i="3" s="1"/>
</calcChain>
</file>

<file path=xl/sharedStrings.xml><?xml version="1.0" encoding="utf-8"?>
<sst xmlns="http://schemas.openxmlformats.org/spreadsheetml/2006/main" count="687" uniqueCount="292">
  <si>
    <t>CG Vir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</si>
  <si>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</si>
  <si>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</si>
  <si>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</si>
  <si>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</si>
  <si>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</si>
  <si>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</si>
  <si>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</si>
  <si>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</si>
  <si>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</si>
  <si>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</si>
  <si>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</si>
  <si>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</si>
  <si>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</si>
  <si>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</si>
  <si>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</si>
  <si>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</si>
  <si>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</si>
  <si>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</si>
  <si>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</si>
  <si>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</si>
  <si>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</si>
  <si>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</si>
  <si>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</si>
  <si>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</si>
  <si>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</si>
  <si>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</si>
  <si>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Nelson</t>
  </si>
  <si>
    <t>S5</t>
  </si>
  <si>
    <t>Misc</t>
  </si>
  <si>
    <t>Lin Fit</t>
  </si>
  <si>
    <t>Q. Fit</t>
  </si>
  <si>
    <t>Date</t>
  </si>
  <si>
    <t>BBSAG Bull.83</t>
  </si>
  <si>
    <t>Paschke A</t>
  </si>
  <si>
    <t>B</t>
  </si>
  <si>
    <t>BBSAG Bull.101</t>
  </si>
  <si>
    <t>v</t>
  </si>
  <si>
    <t>BAV-M 62</t>
  </si>
  <si>
    <t>phe</t>
  </si>
  <si>
    <t>K</t>
  </si>
  <si>
    <t>V</t>
  </si>
  <si>
    <t>BBSAG Bull.106</t>
  </si>
  <si>
    <t>BBSAG 119</t>
  </si>
  <si>
    <t>ccd</t>
  </si>
  <si>
    <t>A. Paschke</t>
  </si>
  <si>
    <t>BBSAG Bull.118</t>
  </si>
  <si>
    <t>Diethelm R</t>
  </si>
  <si>
    <t>IBVS 5484</t>
  </si>
  <si>
    <t>IBVS 5603</t>
  </si>
  <si>
    <t>I</t>
  </si>
  <si>
    <t>RHN 2006</t>
  </si>
  <si>
    <t>S4</t>
  </si>
  <si>
    <t>CG Vir / GSC 0342-0957</t>
  </si>
  <si>
    <t>EB/D</t>
  </si>
  <si>
    <t>I like this fit best.</t>
  </si>
  <si>
    <t>More points are required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</si>
  <si>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</si>
  <si>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</si>
  <si>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</si>
  <si>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</si>
  <si>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</si>
  <si>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</si>
  <si>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</si>
  <si>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</si>
  <si>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</si>
  <si>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pg</t>
  </si>
  <si>
    <t>vis</t>
  </si>
  <si>
    <t>PE</t>
  </si>
  <si>
    <t>CCD</t>
  </si>
  <si>
    <t>OEJV</t>
  </si>
  <si>
    <t>BAD?</t>
  </si>
  <si>
    <t> AA 26.341 </t>
  </si>
  <si>
    <t> IODE 4.3.80 </t>
  </si>
  <si>
    <t>OEJV 0060</t>
  </si>
  <si>
    <t> BBS 122 </t>
  </si>
  <si>
    <t>OEJV 0074</t>
  </si>
  <si>
    <t>VSB 40 </t>
  </si>
  <si>
    <t>BAVM 158 </t>
  </si>
  <si>
    <t>VSB 42 </t>
  </si>
  <si>
    <t>VSB 45 </t>
  </si>
  <si>
    <t>II</t>
  </si>
  <si>
    <t>IBVS 5820</t>
  </si>
  <si>
    <t>IBVS 5874</t>
  </si>
  <si>
    <t>VSB 46 </t>
  </si>
  <si>
    <t>OEJV 0094</t>
  </si>
  <si>
    <t>IBVS 5959</t>
  </si>
  <si>
    <t>VSB 51 </t>
  </si>
  <si>
    <t>IBVS 5992</t>
  </si>
  <si>
    <t>IBVS 6070</t>
  </si>
  <si>
    <t>VSB 53 </t>
  </si>
  <si>
    <t>IBVS 6029</t>
  </si>
  <si>
    <t>IBVS 6118</t>
  </si>
  <si>
    <t>VSB-059</t>
  </si>
  <si>
    <t>VSB 59 </t>
  </si>
  <si>
    <t>Ic</t>
  </si>
  <si>
    <t>IBVS 6157</t>
  </si>
  <si>
    <t>OEJV 0179</t>
  </si>
  <si>
    <t>IBVS 6244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</si>
  <si>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</si>
  <si>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</si>
  <si>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</si>
  <si>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</si>
  <si>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</si>
  <si>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</si>
  <si>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</si>
  <si>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2431556.54 </t>
  </si>
  <si>
    <t> 11.04.1945 00:57 </t>
  </si>
  <si>
    <t> 0.00 </t>
  </si>
  <si>
    <t>V </t>
  </si>
  <si>
    <t> S.Piotrowski </t>
  </si>
  <si>
    <t> AAC 4.83 </t>
  </si>
  <si>
    <t>2446904.45 </t>
  </si>
  <si>
    <t> 18.04.1987 22:48 </t>
  </si>
  <si>
    <t> -0.20 </t>
  </si>
  <si>
    <t> A.Paschke </t>
  </si>
  <si>
    <t> BBS 83 </t>
  </si>
  <si>
    <t>2448679.616 </t>
  </si>
  <si>
    <t> 27.02.1992 02:47 </t>
  </si>
  <si>
    <t> -0.213 </t>
  </si>
  <si>
    <t>E </t>
  </si>
  <si>
    <t>?</t>
  </si>
  <si>
    <t> BBS 101 </t>
  </si>
  <si>
    <t>2449116.3889 </t>
  </si>
  <si>
    <t> 08.05.1993 21:20 </t>
  </si>
  <si>
    <t> -0.2208 </t>
  </si>
  <si>
    <t> F.Agerer </t>
  </si>
  <si>
    <t>BAVM 62 </t>
  </si>
  <si>
    <t>2449116.3901 </t>
  </si>
  <si>
    <t> 08.05.1993 21:21 </t>
  </si>
  <si>
    <t> -0.2197 </t>
  </si>
  <si>
    <t>B;V</t>
  </si>
  <si>
    <t>2449475.534 </t>
  </si>
  <si>
    <t> 03.05.1994 00:48 </t>
  </si>
  <si>
    <t> -0.227 </t>
  </si>
  <si>
    <t> BBS 106 </t>
  </si>
  <si>
    <t>2450951.401 </t>
  </si>
  <si>
    <t> 17.05.1998 21:37 </t>
  </si>
  <si>
    <t> -0.248 </t>
  </si>
  <si>
    <t> BBS 119 </t>
  </si>
  <si>
    <t>2450951.4081 </t>
  </si>
  <si>
    <t> 17.05.1998 21:47 </t>
  </si>
  <si>
    <t> -0.2406 </t>
  </si>
  <si>
    <t> R.Diethelm </t>
  </si>
  <si>
    <t> BBS 118 </t>
  </si>
  <si>
    <t>2452321.58322 </t>
  </si>
  <si>
    <t> 16.02.2002 01:59 </t>
  </si>
  <si>
    <t> -0.26536 </t>
  </si>
  <si>
    <t>C </t>
  </si>
  <si>
    <t> J.Šafár </t>
  </si>
  <si>
    <t>OEJV 0074 </t>
  </si>
  <si>
    <t>2453068.8674 </t>
  </si>
  <si>
    <t> 04.03.2004 08:49 </t>
  </si>
  <si>
    <t> -0.2779 </t>
  </si>
  <si>
    <t> S.Dvorak </t>
  </si>
  <si>
    <t>IBVS 5603 </t>
  </si>
  <si>
    <t>2453148.36829 </t>
  </si>
  <si>
    <t> 22.05.2004 20:50 </t>
  </si>
  <si>
    <t> -0.27665 </t>
  </si>
  <si>
    <t> R.Ehrenberger </t>
  </si>
  <si>
    <t>2453864.7835 </t>
  </si>
  <si>
    <t> 09.05.2006 06:48 </t>
  </si>
  <si>
    <t> 0.1741 </t>
  </si>
  <si>
    <t>R</t>
  </si>
  <si>
    <t> R.Nelson </t>
  </si>
  <si>
    <t>IBVS 5760 </t>
  </si>
  <si>
    <t>2454172.4880 </t>
  </si>
  <si>
    <t> 12.03.2007 23:42 </t>
  </si>
  <si>
    <t> 0.1682 </t>
  </si>
  <si>
    <t>-I</t>
  </si>
  <si>
    <t> M.&amp; C.Rätz </t>
  </si>
  <si>
    <t>BAVM 201 </t>
  </si>
  <si>
    <t>2454260.40358 </t>
  </si>
  <si>
    <t> 08.06.2007 21:41 </t>
  </si>
  <si>
    <t>24274.5</t>
  </si>
  <si>
    <t> 0.16648 </t>
  </si>
  <si>
    <t>2454923.5075 </t>
  </si>
  <si>
    <t> 02.04.2009 00:10 </t>
  </si>
  <si>
    <t>24983.5</t>
  </si>
  <si>
    <t> 0.1498 </t>
  </si>
  <si>
    <t> M.Rätz &amp; K.Rätz </t>
  </si>
  <si>
    <t>BAVM 214 </t>
  </si>
  <si>
    <t>2455654.8953 </t>
  </si>
  <si>
    <t> 03.04.2011 09:29 </t>
  </si>
  <si>
    <t>25765.5</t>
  </si>
  <si>
    <t> 0.1408 </t>
  </si>
  <si>
    <t>IBVS 5992 </t>
  </si>
  <si>
    <t>2455690.4350 </t>
  </si>
  <si>
    <t> 08.05.2011 22:26 </t>
  </si>
  <si>
    <t>25803.5</t>
  </si>
  <si>
    <t> 0.1395 </t>
  </si>
  <si>
    <t> M.&amp; K.Rätz </t>
  </si>
  <si>
    <t>BAVM 231 </t>
  </si>
  <si>
    <t>2456030.8783 </t>
  </si>
  <si>
    <t> 13.04.2012 09:04 </t>
  </si>
  <si>
    <t>26167.5</t>
  </si>
  <si>
    <t> 0.1372 </t>
  </si>
  <si>
    <t>IBVS 6029 </t>
  </si>
  <si>
    <t>2456427.4308 </t>
  </si>
  <si>
    <t> 14.05.2013 22:20 </t>
  </si>
  <si>
    <t>26591.5</t>
  </si>
  <si>
    <t> 0.1268 </t>
  </si>
  <si>
    <t> W.Quester </t>
  </si>
  <si>
    <t>BAVM 234 </t>
  </si>
  <si>
    <t>2428306.438 </t>
  </si>
  <si>
    <t> 17.05.1936 22:30 </t>
  </si>
  <si>
    <t> 0.031 </t>
  </si>
  <si>
    <t>2428696.444 </t>
  </si>
  <si>
    <t> 11.06.1937 22:39 </t>
  </si>
  <si>
    <t> 0.021 </t>
  </si>
  <si>
    <t>2431211.41 </t>
  </si>
  <si>
    <t> 30.04.1944 21:50 </t>
  </si>
  <si>
    <t> -0.01 </t>
  </si>
  <si>
    <t>P </t>
  </si>
  <si>
    <t> W.Zessewitsch </t>
  </si>
  <si>
    <t>2431212.35 </t>
  </si>
  <si>
    <t> 01.05.1944 20:24 </t>
  </si>
  <si>
    <t> -0.00 </t>
  </si>
  <si>
    <t>2431213.30 </t>
  </si>
  <si>
    <t> 02.05.1944 19:12 </t>
  </si>
  <si>
    <t> 0.01 </t>
  </si>
  <si>
    <t>2431241.37 </t>
  </si>
  <si>
    <t> 30.05.1944 20:52 </t>
  </si>
  <si>
    <t> 0.02 </t>
  </si>
  <si>
    <t>2431242.31 </t>
  </si>
  <si>
    <t> 31.05.1944 19:26 </t>
  </si>
  <si>
    <t> 0.03 </t>
  </si>
  <si>
    <t>2431256.30 </t>
  </si>
  <si>
    <t> 14.06.1944 19:12 </t>
  </si>
  <si>
    <t>2431257.25 </t>
  </si>
  <si>
    <t> 15.06.1944 18:00 </t>
  </si>
  <si>
    <t>2431270.35 </t>
  </si>
  <si>
    <t> 28.06.1944 20:24 </t>
  </si>
  <si>
    <t>2431271.28 </t>
  </si>
  <si>
    <t> 29.06.1944 18:43 </t>
  </si>
  <si>
    <t>2451642.5752 </t>
  </si>
  <si>
    <t> 08.04.2000 01:48 </t>
  </si>
  <si>
    <t> -0.2528 </t>
  </si>
  <si>
    <t>2452326.2581 </t>
  </si>
  <si>
    <t> 20.02.2002 18:11 </t>
  </si>
  <si>
    <t> -0.2669 </t>
  </si>
  <si>
    <t> K.Nakajima </t>
  </si>
  <si>
    <t>2452409.4985 </t>
  </si>
  <si>
    <t> 14.05.2002 23:57 </t>
  </si>
  <si>
    <t> -0.2673 </t>
  </si>
  <si>
    <t>G</t>
  </si>
  <si>
    <t>2452409.4994 </t>
  </si>
  <si>
    <t> 14.05.2002 23:59 </t>
  </si>
  <si>
    <t> -0.2664 </t>
  </si>
  <si>
    <t>2452416.0494 </t>
  </si>
  <si>
    <t> 21.05.2002 13:11 </t>
  </si>
  <si>
    <t> -0.2635 </t>
  </si>
  <si>
    <t> K.Nagai </t>
  </si>
  <si>
    <t>2452763.0334 </t>
  </si>
  <si>
    <t> 03.05.2003 12:48 </t>
  </si>
  <si>
    <t> -0.2721 </t>
  </si>
  <si>
    <t>2453814.2805 </t>
  </si>
  <si>
    <t> 19.03.2006 18:43 </t>
  </si>
  <si>
    <t> 0.1767 </t>
  </si>
  <si>
    <t> K.Nagai et al. </t>
  </si>
  <si>
    <t>2453867.1211 </t>
  </si>
  <si>
    <t> 11.05.2006 14:54 </t>
  </si>
  <si>
    <t> 0.1734 </t>
  </si>
  <si>
    <t>2454236.0890 </t>
  </si>
  <si>
    <t> 15.05.2007 14:08 </t>
  </si>
  <si>
    <t>24248.5</t>
  </si>
  <si>
    <t> 0.1694 </t>
  </si>
  <si>
    <t>2455319.1262 </t>
  </si>
  <si>
    <t> 02.05.2010 15:01 </t>
  </si>
  <si>
    <t>25406.5</t>
  </si>
  <si>
    <t>Rc</t>
  </si>
  <si>
    <t>2455703.0569 </t>
  </si>
  <si>
    <t> 21.05.2011 13:21 </t>
  </si>
  <si>
    <t>25817</t>
  </si>
  <si>
    <t> 0.1350 </t>
  </si>
  <si>
    <t>2456794.0576 </t>
  </si>
  <si>
    <t> 16.05.2014 13:22 </t>
  </si>
  <si>
    <t>26983.5</t>
  </si>
  <si>
    <t> 0.1199 </t>
  </si>
  <si>
    <t>2456794.0585 </t>
  </si>
  <si>
    <t> 16.05.2014 13:24 </t>
  </si>
  <si>
    <t> 0.1208 </t>
  </si>
  <si>
    <t>2456794.0592 </t>
  </si>
  <si>
    <t> 16.05.2014 13:25 </t>
  </si>
  <si>
    <t> 0.1215 </t>
  </si>
  <si>
    <t>2457178.457 </t>
  </si>
  <si>
    <t> 04.06.2015 22:58 </t>
  </si>
  <si>
    <t>27394.5</t>
  </si>
  <si>
    <t> 0.115 </t>
  </si>
  <si>
    <t>BAVM 241 (=IBVS 6157) </t>
  </si>
  <si>
    <t>VSB, 91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</si>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</sst>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"/>
    <numFmt numFmtId="166" formatCode="m/d/yyyy\ h:mm"/>
    <numFmt numFmtId="168" formatCode="d/mm/yyyy;@"/>
    <numFmt numFmtId="169" formatCode="0.00000"/>
  </numFmts>
  <fonts count="35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3" fillId="0" borderId="0" applyFill="0" applyBorder="0" applyProtection="0">
      <alignment vertical="top"/>
    </xf>
    <xf numFmtId="164" fontId="33" fillId="0" borderId="0" applyFill="0" applyBorder="0" applyProtection="0">
      <alignment vertical="top"/>
    </xf>
    <xf numFmtId="0" fontId="33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3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3" fillId="0" borderId="0"/>
    <xf numFmtId="0" fontId="33" fillId="0" borderId="0"/>
    <xf numFmtId="0" fontId="33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3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9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 vertical="center" wrapText="1"/>
    </xf>
    <xf numFmtId="0" fontId="18" fillId="0" borderId="10" xfId="0" applyFont="1" applyBorder="1" applyAlignment="1">
      <alignment horizontal="center"/>
    </xf>
    <xf numFmtId="165" fontId="0" fillId="0" borderId="0" xfId="0" applyNumberForma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0" xfId="0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23" fillId="0" borderId="0" xfId="0" applyFont="1" applyAlignment="1"/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8" fillId="0" borderId="0" xfId="0" applyFont="1">
      <alignment vertical="top"/>
    </xf>
    <xf numFmtId="0" fontId="20" fillId="0" borderId="0" xfId="0" applyFont="1" applyAlignment="1">
      <alignment horizontal="center"/>
    </xf>
    <xf numFmtId="0" fontId="26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6" fontId="20" fillId="0" borderId="0" xfId="0" applyNumberFormat="1" applyFont="1">
      <alignment vertical="top"/>
    </xf>
    <xf numFmtId="0" fontId="27" fillId="0" borderId="10" xfId="0" applyFont="1" applyFill="1" applyBorder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NumberFormat="1" applyFont="1" applyAlignment="1">
      <alignment horizontal="left"/>
    </xf>
    <xf numFmtId="0" fontId="22" fillId="0" borderId="0" xfId="0" applyFont="1" applyAlignment="1"/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9" fillId="0" borderId="0" xfId="0" applyFont="1" applyAlignment="1"/>
    <xf numFmtId="0" fontId="22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1" fillId="0" borderId="0" xfId="43" applyFont="1" applyAlignment="1">
      <alignment horizontal="left"/>
    </xf>
    <xf numFmtId="0" fontId="31" fillId="0" borderId="0" xfId="43" applyFont="1" applyAlignment="1">
      <alignment horizontal="center"/>
    </xf>
    <xf numFmtId="0" fontId="22" fillId="0" borderId="0" xfId="43" applyFont="1"/>
    <xf numFmtId="0" fontId="22" fillId="0" borderId="0" xfId="43" applyFont="1" applyAlignment="1">
      <alignment horizontal="center"/>
    </xf>
    <xf numFmtId="0" fontId="22" fillId="0" borderId="0" xfId="43" applyFont="1" applyAlignment="1">
      <alignment horizontal="left"/>
    </xf>
    <xf numFmtId="0" fontId="31" fillId="0" borderId="0" xfId="43" applyFont="1" applyAlignment="1">
      <alignment horizontal="center" wrapText="1"/>
    </xf>
    <xf numFmtId="0" fontId="31" fillId="0" borderId="0" xfId="43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32" fillId="0" borderId="0" xfId="38" applyNumberFormat="1" applyFont="1" applyFill="1" applyBorder="1" applyAlignment="1" applyProtection="1">
      <alignment horizontal="left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22" fillId="24" borderId="17" xfId="0" applyFont="1" applyFill="1" applyBorder="1" applyAlignment="1">
      <alignment horizontal="left" vertical="top" wrapText="1" indent="1"/>
    </xf>
    <xf numFmtId="0" fontId="22" fillId="24" borderId="17" xfId="0" applyFont="1" applyFill="1" applyBorder="1" applyAlignment="1">
      <alignment horizontal="center" vertical="top" wrapText="1"/>
    </xf>
    <xf numFmtId="0" fontId="22" fillId="24" borderId="17" xfId="0" applyFont="1" applyFill="1" applyBorder="1" applyAlignment="1">
      <alignment horizontal="right" vertical="top" wrapText="1"/>
    </xf>
    <xf numFmtId="0" fontId="32" fillId="24" borderId="17" xfId="38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9" fontId="34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723232454262821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52076403608619"/>
          <c:y val="0.23584978088695488"/>
          <c:w val="0.7364091591017870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Active!$H$21:$H$83</c:f>
              <c:numCache>
                <c:formatCode>General</c:formatCode>
                <c:ptCount val="63"/>
                <c:pt idx="0">
                  <c:v>-1.0591391055640997E-2</c:v>
                </c:pt>
                <c:pt idx="1">
                  <c:v>-1.5560424129944295E-2</c:v>
                </c:pt>
                <c:pt idx="2">
                  <c:v>-1.2379920375678921E-2</c:v>
                </c:pt>
                <c:pt idx="3">
                  <c:v>-7.658023572730599E-3</c:v>
                </c:pt>
                <c:pt idx="4">
                  <c:v>7.0638732322549913E-3</c:v>
                </c:pt>
                <c:pt idx="5">
                  <c:v>1.8720777326961979E-2</c:v>
                </c:pt>
                <c:pt idx="6">
                  <c:v>2.3442674129910301E-2</c:v>
                </c:pt>
                <c:pt idx="7">
                  <c:v>-1.5728873822808964E-2</c:v>
                </c:pt>
                <c:pt idx="8">
                  <c:v>-1.0069770178233739E-3</c:v>
                </c:pt>
                <c:pt idx="9">
                  <c:v>5.0995782257814426E-3</c:v>
                </c:pt>
                <c:pt idx="10">
                  <c:v>-1.7852497330750339E-4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0F-42E9-A750-8B2C440ACC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Active!$I$21:$I$83</c:f>
              <c:numCache>
                <c:formatCode>General</c:formatCode>
                <c:ptCount val="63"/>
                <c:pt idx="12">
                  <c:v>-3.67345979611855E-3</c:v>
                </c:pt>
                <c:pt idx="13">
                  <c:v>4.4866726457257755E-3</c:v>
                </c:pt>
                <c:pt idx="16">
                  <c:v>8.2085214671678841E-4</c:v>
                </c:pt>
                <c:pt idx="21">
                  <c:v>-1.0259924310958013E-3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0F-42E9-A750-8B2C440ACCE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Active!$J$21:$J$83</c:f>
              <c:numCache>
                <c:formatCode>General</c:formatCode>
                <c:ptCount val="63"/>
                <c:pt idx="14">
                  <c:v>2.5124797248281538E-3</c:v>
                </c:pt>
                <c:pt idx="15">
                  <c:v>3.7124797236174345E-3</c:v>
                </c:pt>
                <c:pt idx="22">
                  <c:v>6.0740075714420527E-3</c:v>
                </c:pt>
                <c:pt idx="28">
                  <c:v>-1.5888762645772658E-3</c:v>
                </c:pt>
                <c:pt idx="37">
                  <c:v>-1.1813402277766727E-2</c:v>
                </c:pt>
                <c:pt idx="41">
                  <c:v>-2.0630269318644423E-2</c:v>
                </c:pt>
                <c:pt idx="44">
                  <c:v>-2.1174890716793016E-2</c:v>
                </c:pt>
                <c:pt idx="47">
                  <c:v>-2.4520209801266901E-2</c:v>
                </c:pt>
                <c:pt idx="54">
                  <c:v>-2.6637076844053809E-2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0F-42E9-A750-8B2C440ACCE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Active!$K$21:$K$83</c:f>
              <c:numCache>
                <c:formatCode>General</c:formatCode>
                <c:ptCount val="63"/>
                <c:pt idx="23">
                  <c:v>2.6557451201369986E-3</c:v>
                </c:pt>
                <c:pt idx="24">
                  <c:v>-1.1963582408498041E-2</c:v>
                </c:pt>
                <c:pt idx="25">
                  <c:v>-1.2271757732378319E-3</c:v>
                </c:pt>
                <c:pt idx="26">
                  <c:v>-2.7376917496440001E-3</c:v>
                </c:pt>
                <c:pt idx="27">
                  <c:v>-2.0888762664981186E-3</c:v>
                </c:pt>
                <c:pt idx="29">
                  <c:v>-1.1888762674061581E-3</c:v>
                </c:pt>
                <c:pt idx="30">
                  <c:v>1.8644013543962501E-3</c:v>
                </c:pt>
                <c:pt idx="31">
                  <c:v>-2.3118846729630604E-3</c:v>
                </c:pt>
                <c:pt idx="32">
                  <c:v>-4.2516300236457027E-3</c:v>
                </c:pt>
                <c:pt idx="33">
                  <c:v>-2.000401756959036E-3</c:v>
                </c:pt>
                <c:pt idx="34">
                  <c:v>-7.7998778942856006E-3</c:v>
                </c:pt>
                <c:pt idx="35">
                  <c:v>-9.8174505183123983E-3</c:v>
                </c:pt>
                <c:pt idx="36">
                  <c:v>-1.0412708514195401E-2</c:v>
                </c:pt>
                <c:pt idx="38">
                  <c:v>-9.7244196585961618E-3</c:v>
                </c:pt>
                <c:pt idx="39">
                  <c:v>-1.2375102771329693E-2</c:v>
                </c:pt>
                <c:pt idx="42">
                  <c:v>-2.4567921573179774E-2</c:v>
                </c:pt>
                <c:pt idx="43">
                  <c:v>-2.0306969236116856E-2</c:v>
                </c:pt>
                <c:pt idx="45">
                  <c:v>-2.5529283862852026E-2</c:v>
                </c:pt>
                <c:pt idx="46">
                  <c:v>-1.9104454360785894E-2</c:v>
                </c:pt>
                <c:pt idx="48">
                  <c:v>-2.6736663014162332E-2</c:v>
                </c:pt>
                <c:pt idx="49">
                  <c:v>-2.6736662955954671E-2</c:v>
                </c:pt>
                <c:pt idx="50">
                  <c:v>-2.5836663146037608E-2</c:v>
                </c:pt>
                <c:pt idx="51">
                  <c:v>-2.583666295686271E-2</c:v>
                </c:pt>
                <c:pt idx="52">
                  <c:v>-2.5136662952718325E-2</c:v>
                </c:pt>
                <c:pt idx="53">
                  <c:v>-2.513666293816641E-2</c:v>
                </c:pt>
                <c:pt idx="55">
                  <c:v>-2.6734409424534533E-2</c:v>
                </c:pt>
                <c:pt idx="56">
                  <c:v>-2.5657588892499916E-2</c:v>
                </c:pt>
                <c:pt idx="57">
                  <c:v>-2.5139300043520052E-2</c:v>
                </c:pt>
                <c:pt idx="58">
                  <c:v>-3.0524364490702283E-2</c:v>
                </c:pt>
                <c:pt idx="59">
                  <c:v>-2.8524364490294829E-2</c:v>
                </c:pt>
                <c:pt idx="60">
                  <c:v>-3.573719510313822E-2</c:v>
                </c:pt>
                <c:pt idx="61">
                  <c:v>-3.3237195108085871E-2</c:v>
                </c:pt>
                <c:pt idx="62">
                  <c:v>-2.7015298313926905E-2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0F-42E9-A750-8B2C440ACCE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Active!$L$21:$L$83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0F-42E9-A750-8B2C440ACC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Active!$M$21:$M$83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0F-42E9-A750-8B2C440ACC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Active!$N$21:$N$83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0F-42E9-A750-8B2C440ACC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Active!$O$21:$O$83</c:f>
              <c:numCache>
                <c:formatCode>General</c:formatCode>
                <c:ptCount val="63"/>
                <c:pt idx="0">
                  <c:v>9.6565034062543922E-2</c:v>
                </c:pt>
                <c:pt idx="1">
                  <c:v>9.4934984252281251E-2</c:v>
                </c:pt>
                <c:pt idx="2">
                  <c:v>8.4423703821115026E-2</c:v>
                </c:pt>
                <c:pt idx="3">
                  <c:v>8.4419794828764272E-2</c:v>
                </c:pt>
                <c:pt idx="4">
                  <c:v>8.4415885836413518E-2</c:v>
                </c:pt>
                <c:pt idx="5">
                  <c:v>8.4298616065891022E-2</c:v>
                </c:pt>
                <c:pt idx="6">
                  <c:v>8.4294707073540281E-2</c:v>
                </c:pt>
                <c:pt idx="7">
                  <c:v>8.4236072188279026E-2</c:v>
                </c:pt>
                <c:pt idx="8">
                  <c:v>8.4232163195928272E-2</c:v>
                </c:pt>
                <c:pt idx="9">
                  <c:v>8.4177437303017785E-2</c:v>
                </c:pt>
                <c:pt idx="10">
                  <c:v>8.4173528310667031E-2</c:v>
                </c:pt>
                <c:pt idx="11">
                  <c:v>8.2981285643688341E-2</c:v>
                </c:pt>
                <c:pt idx="12">
                  <c:v>1.8834721167884011E-2</c:v>
                </c:pt>
                <c:pt idx="13">
                  <c:v>1.141545368616087E-2</c:v>
                </c:pt>
                <c:pt idx="14">
                  <c:v>9.5899542583607195E-3</c:v>
                </c:pt>
                <c:pt idx="15">
                  <c:v>9.5899542583607195E-3</c:v>
                </c:pt>
                <c:pt idx="16">
                  <c:v>8.088901195672793E-3</c:v>
                </c:pt>
                <c:pt idx="17">
                  <c:v>7.7879087846650513E-3</c:v>
                </c:pt>
                <c:pt idx="18">
                  <c:v>7.7214559147023021E-3</c:v>
                </c:pt>
                <c:pt idx="19">
                  <c:v>7.6999564567731826E-3</c:v>
                </c:pt>
                <c:pt idx="20">
                  <c:v>7.3813735801870756E-3</c:v>
                </c:pt>
                <c:pt idx="21">
                  <c:v>1.9205112661895979E-3</c:v>
                </c:pt>
                <c:pt idx="22">
                  <c:v>1.9205112661895979E-3</c:v>
                </c:pt>
                <c:pt idx="23">
                  <c:v>-9.6823408101451292E-4</c:v>
                </c:pt>
                <c:pt idx="24">
                  <c:v>-2.0412524812953303E-3</c:v>
                </c:pt>
                <c:pt idx="25">
                  <c:v>-3.8061625276588767E-3</c:v>
                </c:pt>
                <c:pt idx="26">
                  <c:v>-3.8257074894126192E-3</c:v>
                </c:pt>
                <c:pt idx="27">
                  <c:v>-4.1736078086293538E-3</c:v>
                </c:pt>
                <c:pt idx="28">
                  <c:v>-4.1736078086293538E-3</c:v>
                </c:pt>
                <c:pt idx="29">
                  <c:v>-4.1736078086293538E-3</c:v>
                </c:pt>
                <c:pt idx="30">
                  <c:v>-4.2009707550846043E-3</c:v>
                </c:pt>
                <c:pt idx="31">
                  <c:v>-5.6512069172127838E-3</c:v>
                </c:pt>
                <c:pt idx="32">
                  <c:v>-6.9294474159079661E-3</c:v>
                </c:pt>
                <c:pt idx="33">
                  <c:v>-7.2617117657216984E-3</c:v>
                </c:pt>
                <c:pt idx="34">
                  <c:v>-1.0044914319455561E-2</c:v>
                </c:pt>
                <c:pt idx="35">
                  <c:v>-1.0255999906396057E-2</c:v>
                </c:pt>
                <c:pt idx="36">
                  <c:v>-1.0265772387272928E-2</c:v>
                </c:pt>
                <c:pt idx="37">
                  <c:v>-1.1542058389792734E-2</c:v>
                </c:pt>
                <c:pt idx="38">
                  <c:v>-1.1807869869643731E-2</c:v>
                </c:pt>
                <c:pt idx="39">
                  <c:v>-1.1909503670763225E-2</c:v>
                </c:pt>
                <c:pt idx="40">
                  <c:v>-1.3260060527947273E-2</c:v>
                </c:pt>
                <c:pt idx="41">
                  <c:v>-1.4680979247444839E-2</c:v>
                </c:pt>
                <c:pt idx="42">
                  <c:v>-1.6334483011812007E-2</c:v>
                </c:pt>
                <c:pt idx="43">
                  <c:v>-1.7737811265731179E-2</c:v>
                </c:pt>
                <c:pt idx="44">
                  <c:v>-1.788635297505968E-2</c:v>
                </c:pt>
                <c:pt idx="45">
                  <c:v>-1.7939124371794804E-2</c:v>
                </c:pt>
                <c:pt idx="46">
                  <c:v>-1.9309226190732609E-2</c:v>
                </c:pt>
                <c:pt idx="47">
                  <c:v>-2.096663894745053E-2</c:v>
                </c:pt>
                <c:pt idx="48">
                  <c:v>-2.2498963948944448E-2</c:v>
                </c:pt>
                <c:pt idx="49">
                  <c:v>-2.2498963948944448E-2</c:v>
                </c:pt>
                <c:pt idx="50">
                  <c:v>-2.2498963948944448E-2</c:v>
                </c:pt>
                <c:pt idx="51">
                  <c:v>-2.2498963948944448E-2</c:v>
                </c:pt>
                <c:pt idx="52">
                  <c:v>-2.2498963948944448E-2</c:v>
                </c:pt>
                <c:pt idx="53">
                  <c:v>-2.2498963948944448E-2</c:v>
                </c:pt>
                <c:pt idx="54">
                  <c:v>-2.4105559805102622E-2</c:v>
                </c:pt>
                <c:pt idx="55">
                  <c:v>-2.5368164334394802E-2</c:v>
                </c:pt>
                <c:pt idx="56">
                  <c:v>-2.5526478524600174E-2</c:v>
                </c:pt>
                <c:pt idx="57">
                  <c:v>-2.7068576006970976E-2</c:v>
                </c:pt>
                <c:pt idx="58">
                  <c:v>-3.1427102478057009E-2</c:v>
                </c:pt>
                <c:pt idx="59">
                  <c:v>-3.1427102478057009E-2</c:v>
                </c:pt>
                <c:pt idx="60">
                  <c:v>-3.1647960545874376E-2</c:v>
                </c:pt>
                <c:pt idx="61">
                  <c:v>-3.1647960545874376E-2</c:v>
                </c:pt>
                <c:pt idx="62">
                  <c:v>-3.1651869538225116E-2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0F-42E9-A750-8B2C440ACC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Active!$U$21:$U$83</c:f>
              <c:numCache>
                <c:formatCode>General</c:formatCode>
                <c:ptCount val="63"/>
                <c:pt idx="17">
                  <c:v>-0.12559309400967322</c:v>
                </c:pt>
                <c:pt idx="18">
                  <c:v>3.6679151649877895E-2</c:v>
                </c:pt>
                <c:pt idx="19">
                  <c:v>-5.0350415935099591E-2</c:v>
                </c:pt>
                <c:pt idx="20">
                  <c:v>-0.18951582647423493</c:v>
                </c:pt>
                <c:pt idx="40">
                  <c:v>-0.17023975727352081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0F-42E9-A750-8B2C440A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4968"/>
        <c:axId val="1"/>
      </c:scatterChart>
      <c:valAx>
        <c:axId val="104205496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2476358494726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6573311367380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4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9754612633882"/>
          <c:y val="0.9088076726258274"/>
          <c:w val="0.848435617705941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7235823570834131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567694943621"/>
          <c:y val="0.23511007774245343"/>
          <c:w val="0.8016272891693488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Active!$H$21:$H$83</c:f>
              <c:numCache>
                <c:formatCode>General</c:formatCode>
                <c:ptCount val="63"/>
                <c:pt idx="0">
                  <c:v>-1.0591391055640997E-2</c:v>
                </c:pt>
                <c:pt idx="1">
                  <c:v>-1.5560424129944295E-2</c:v>
                </c:pt>
                <c:pt idx="2">
                  <c:v>-1.2379920375678921E-2</c:v>
                </c:pt>
                <c:pt idx="3">
                  <c:v>-7.658023572730599E-3</c:v>
                </c:pt>
                <c:pt idx="4">
                  <c:v>7.0638732322549913E-3</c:v>
                </c:pt>
                <c:pt idx="5">
                  <c:v>1.8720777326961979E-2</c:v>
                </c:pt>
                <c:pt idx="6">
                  <c:v>2.3442674129910301E-2</c:v>
                </c:pt>
                <c:pt idx="7">
                  <c:v>-1.5728873822808964E-2</c:v>
                </c:pt>
                <c:pt idx="8">
                  <c:v>-1.0069770178233739E-3</c:v>
                </c:pt>
                <c:pt idx="9">
                  <c:v>5.0995782257814426E-3</c:v>
                </c:pt>
                <c:pt idx="10">
                  <c:v>-1.7852497330750339E-4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6D-451A-A189-E89ACDEBD6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Active!$I$21:$I$83</c:f>
              <c:numCache>
                <c:formatCode>General</c:formatCode>
                <c:ptCount val="63"/>
                <c:pt idx="12">
                  <c:v>-3.67345979611855E-3</c:v>
                </c:pt>
                <c:pt idx="13">
                  <c:v>4.4866726457257755E-3</c:v>
                </c:pt>
                <c:pt idx="16">
                  <c:v>8.2085214671678841E-4</c:v>
                </c:pt>
                <c:pt idx="21">
                  <c:v>-1.0259924310958013E-3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6D-451A-A189-E89ACDEBD67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Active!$J$21:$J$83</c:f>
              <c:numCache>
                <c:formatCode>General</c:formatCode>
                <c:ptCount val="63"/>
                <c:pt idx="14">
                  <c:v>2.5124797248281538E-3</c:v>
                </c:pt>
                <c:pt idx="15">
                  <c:v>3.7124797236174345E-3</c:v>
                </c:pt>
                <c:pt idx="22">
                  <c:v>6.0740075714420527E-3</c:v>
                </c:pt>
                <c:pt idx="28">
                  <c:v>-1.5888762645772658E-3</c:v>
                </c:pt>
                <c:pt idx="37">
                  <c:v>-1.1813402277766727E-2</c:v>
                </c:pt>
                <c:pt idx="41">
                  <c:v>-2.0630269318644423E-2</c:v>
                </c:pt>
                <c:pt idx="44">
                  <c:v>-2.1174890716793016E-2</c:v>
                </c:pt>
                <c:pt idx="47">
                  <c:v>-2.4520209801266901E-2</c:v>
                </c:pt>
                <c:pt idx="54">
                  <c:v>-2.6637076844053809E-2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6D-451A-A189-E89ACDEBD67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Active!$K$21:$K$83</c:f>
              <c:numCache>
                <c:formatCode>General</c:formatCode>
                <c:ptCount val="63"/>
                <c:pt idx="23">
                  <c:v>2.6557451201369986E-3</c:v>
                </c:pt>
                <c:pt idx="24">
                  <c:v>-1.1963582408498041E-2</c:v>
                </c:pt>
                <c:pt idx="25">
                  <c:v>-1.2271757732378319E-3</c:v>
                </c:pt>
                <c:pt idx="26">
                  <c:v>-2.7376917496440001E-3</c:v>
                </c:pt>
                <c:pt idx="27">
                  <c:v>-2.0888762664981186E-3</c:v>
                </c:pt>
                <c:pt idx="29">
                  <c:v>-1.1888762674061581E-3</c:v>
                </c:pt>
                <c:pt idx="30">
                  <c:v>1.8644013543962501E-3</c:v>
                </c:pt>
                <c:pt idx="31">
                  <c:v>-2.3118846729630604E-3</c:v>
                </c:pt>
                <c:pt idx="32">
                  <c:v>-4.2516300236457027E-3</c:v>
                </c:pt>
                <c:pt idx="33">
                  <c:v>-2.000401756959036E-3</c:v>
                </c:pt>
                <c:pt idx="34">
                  <c:v>-7.7998778942856006E-3</c:v>
                </c:pt>
                <c:pt idx="35">
                  <c:v>-9.8174505183123983E-3</c:v>
                </c:pt>
                <c:pt idx="36">
                  <c:v>-1.0412708514195401E-2</c:v>
                </c:pt>
                <c:pt idx="38">
                  <c:v>-9.7244196585961618E-3</c:v>
                </c:pt>
                <c:pt idx="39">
                  <c:v>-1.2375102771329693E-2</c:v>
                </c:pt>
                <c:pt idx="42">
                  <c:v>-2.4567921573179774E-2</c:v>
                </c:pt>
                <c:pt idx="43">
                  <c:v>-2.0306969236116856E-2</c:v>
                </c:pt>
                <c:pt idx="45">
                  <c:v>-2.5529283862852026E-2</c:v>
                </c:pt>
                <c:pt idx="46">
                  <c:v>-1.9104454360785894E-2</c:v>
                </c:pt>
                <c:pt idx="48">
                  <c:v>-2.6736663014162332E-2</c:v>
                </c:pt>
                <c:pt idx="49">
                  <c:v>-2.6736662955954671E-2</c:v>
                </c:pt>
                <c:pt idx="50">
                  <c:v>-2.5836663146037608E-2</c:v>
                </c:pt>
                <c:pt idx="51">
                  <c:v>-2.583666295686271E-2</c:v>
                </c:pt>
                <c:pt idx="52">
                  <c:v>-2.5136662952718325E-2</c:v>
                </c:pt>
                <c:pt idx="53">
                  <c:v>-2.513666293816641E-2</c:v>
                </c:pt>
                <c:pt idx="55">
                  <c:v>-2.6734409424534533E-2</c:v>
                </c:pt>
                <c:pt idx="56">
                  <c:v>-2.5657588892499916E-2</c:v>
                </c:pt>
                <c:pt idx="57">
                  <c:v>-2.5139300043520052E-2</c:v>
                </c:pt>
                <c:pt idx="58">
                  <c:v>-3.0524364490702283E-2</c:v>
                </c:pt>
                <c:pt idx="59">
                  <c:v>-2.8524364490294829E-2</c:v>
                </c:pt>
                <c:pt idx="60">
                  <c:v>-3.573719510313822E-2</c:v>
                </c:pt>
                <c:pt idx="61">
                  <c:v>-3.3237195108085871E-2</c:v>
                </c:pt>
                <c:pt idx="62">
                  <c:v>-2.7015298313926905E-2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6D-451A-A189-E89ACDEBD67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Active!$L$21:$L$83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6D-451A-A189-E89ACDEBD6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Active!$M$21:$M$83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6D-451A-A189-E89ACDEBD6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Active!$N$21:$N$83</c:f>
              <c:numCache>
                <c:formatCode>General</c:formatCode>
                <c:ptCount val="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6D-451A-A189-E89ACDEBD6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Active!$O$21:$O$83</c:f>
              <c:numCache>
                <c:formatCode>General</c:formatCode>
                <c:ptCount val="63"/>
                <c:pt idx="0">
                  <c:v>9.6565034062543922E-2</c:v>
                </c:pt>
                <c:pt idx="1">
                  <c:v>9.4934984252281251E-2</c:v>
                </c:pt>
                <c:pt idx="2">
                  <c:v>8.4423703821115026E-2</c:v>
                </c:pt>
                <c:pt idx="3">
                  <c:v>8.4419794828764272E-2</c:v>
                </c:pt>
                <c:pt idx="4">
                  <c:v>8.4415885836413518E-2</c:v>
                </c:pt>
                <c:pt idx="5">
                  <c:v>8.4298616065891022E-2</c:v>
                </c:pt>
                <c:pt idx="6">
                  <c:v>8.4294707073540281E-2</c:v>
                </c:pt>
                <c:pt idx="7">
                  <c:v>8.4236072188279026E-2</c:v>
                </c:pt>
                <c:pt idx="8">
                  <c:v>8.4232163195928272E-2</c:v>
                </c:pt>
                <c:pt idx="9">
                  <c:v>8.4177437303017785E-2</c:v>
                </c:pt>
                <c:pt idx="10">
                  <c:v>8.4173528310667031E-2</c:v>
                </c:pt>
                <c:pt idx="11">
                  <c:v>8.2981285643688341E-2</c:v>
                </c:pt>
                <c:pt idx="12">
                  <c:v>1.8834721167884011E-2</c:v>
                </c:pt>
                <c:pt idx="13">
                  <c:v>1.141545368616087E-2</c:v>
                </c:pt>
                <c:pt idx="14">
                  <c:v>9.5899542583607195E-3</c:v>
                </c:pt>
                <c:pt idx="15">
                  <c:v>9.5899542583607195E-3</c:v>
                </c:pt>
                <c:pt idx="16">
                  <c:v>8.088901195672793E-3</c:v>
                </c:pt>
                <c:pt idx="17">
                  <c:v>7.7879087846650513E-3</c:v>
                </c:pt>
                <c:pt idx="18">
                  <c:v>7.7214559147023021E-3</c:v>
                </c:pt>
                <c:pt idx="19">
                  <c:v>7.6999564567731826E-3</c:v>
                </c:pt>
                <c:pt idx="20">
                  <c:v>7.3813735801870756E-3</c:v>
                </c:pt>
                <c:pt idx="21">
                  <c:v>1.9205112661895979E-3</c:v>
                </c:pt>
                <c:pt idx="22">
                  <c:v>1.9205112661895979E-3</c:v>
                </c:pt>
                <c:pt idx="23">
                  <c:v>-9.6823408101451292E-4</c:v>
                </c:pt>
                <c:pt idx="24">
                  <c:v>-2.0412524812953303E-3</c:v>
                </c:pt>
                <c:pt idx="25">
                  <c:v>-3.8061625276588767E-3</c:v>
                </c:pt>
                <c:pt idx="26">
                  <c:v>-3.8257074894126192E-3</c:v>
                </c:pt>
                <c:pt idx="27">
                  <c:v>-4.1736078086293538E-3</c:v>
                </c:pt>
                <c:pt idx="28">
                  <c:v>-4.1736078086293538E-3</c:v>
                </c:pt>
                <c:pt idx="29">
                  <c:v>-4.1736078086293538E-3</c:v>
                </c:pt>
                <c:pt idx="30">
                  <c:v>-4.2009707550846043E-3</c:v>
                </c:pt>
                <c:pt idx="31">
                  <c:v>-5.6512069172127838E-3</c:v>
                </c:pt>
                <c:pt idx="32">
                  <c:v>-6.9294474159079661E-3</c:v>
                </c:pt>
                <c:pt idx="33">
                  <c:v>-7.2617117657216984E-3</c:v>
                </c:pt>
                <c:pt idx="34">
                  <c:v>-1.0044914319455561E-2</c:v>
                </c:pt>
                <c:pt idx="35">
                  <c:v>-1.0255999906396057E-2</c:v>
                </c:pt>
                <c:pt idx="36">
                  <c:v>-1.0265772387272928E-2</c:v>
                </c:pt>
                <c:pt idx="37">
                  <c:v>-1.1542058389792734E-2</c:v>
                </c:pt>
                <c:pt idx="38">
                  <c:v>-1.1807869869643731E-2</c:v>
                </c:pt>
                <c:pt idx="39">
                  <c:v>-1.1909503670763225E-2</c:v>
                </c:pt>
                <c:pt idx="40">
                  <c:v>-1.3260060527947273E-2</c:v>
                </c:pt>
                <c:pt idx="41">
                  <c:v>-1.4680979247444839E-2</c:v>
                </c:pt>
                <c:pt idx="42">
                  <c:v>-1.6334483011812007E-2</c:v>
                </c:pt>
                <c:pt idx="43">
                  <c:v>-1.7737811265731179E-2</c:v>
                </c:pt>
                <c:pt idx="44">
                  <c:v>-1.788635297505968E-2</c:v>
                </c:pt>
                <c:pt idx="45">
                  <c:v>-1.7939124371794804E-2</c:v>
                </c:pt>
                <c:pt idx="46">
                  <c:v>-1.9309226190732609E-2</c:v>
                </c:pt>
                <c:pt idx="47">
                  <c:v>-2.096663894745053E-2</c:v>
                </c:pt>
                <c:pt idx="48">
                  <c:v>-2.2498963948944448E-2</c:v>
                </c:pt>
                <c:pt idx="49">
                  <c:v>-2.2498963948944448E-2</c:v>
                </c:pt>
                <c:pt idx="50">
                  <c:v>-2.2498963948944448E-2</c:v>
                </c:pt>
                <c:pt idx="51">
                  <c:v>-2.2498963948944448E-2</c:v>
                </c:pt>
                <c:pt idx="52">
                  <c:v>-2.2498963948944448E-2</c:v>
                </c:pt>
                <c:pt idx="53">
                  <c:v>-2.2498963948944448E-2</c:v>
                </c:pt>
                <c:pt idx="54">
                  <c:v>-2.4105559805102622E-2</c:v>
                </c:pt>
                <c:pt idx="55">
                  <c:v>-2.5368164334394802E-2</c:v>
                </c:pt>
                <c:pt idx="56">
                  <c:v>-2.5526478524600174E-2</c:v>
                </c:pt>
                <c:pt idx="57">
                  <c:v>-2.7068576006970976E-2</c:v>
                </c:pt>
                <c:pt idx="58">
                  <c:v>-3.1427102478057009E-2</c:v>
                </c:pt>
                <c:pt idx="59">
                  <c:v>-3.1427102478057009E-2</c:v>
                </c:pt>
                <c:pt idx="60">
                  <c:v>-3.1647960545874376E-2</c:v>
                </c:pt>
                <c:pt idx="61">
                  <c:v>-3.1647960545874376E-2</c:v>
                </c:pt>
                <c:pt idx="62">
                  <c:v>-3.1651869538225116E-2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6D-451A-A189-E89ACDEBD6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Active!$F$21:$F$83</c:f>
              <c:numCache>
                <c:formatCode>General</c:formatCode>
                <c:ptCount val="63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</c:numCache>
            </c:numRef>
          </c:xVal>
          <c:yVal>
            <c:numRef>
              <c:f>Active!$U$21:$U$83</c:f>
              <c:numCache>
                <c:formatCode>General</c:formatCode>
                <c:ptCount val="63"/>
                <c:pt idx="17">
                  <c:v>-0.12559309400967322</c:v>
                </c:pt>
                <c:pt idx="18">
                  <c:v>3.6679151649877895E-2</c:v>
                </c:pt>
                <c:pt idx="19">
                  <c:v>-5.0350415935099591E-2</c:v>
                </c:pt>
                <c:pt idx="20">
                  <c:v>-0.18951582647423493</c:v>
                </c:pt>
                <c:pt idx="40">
                  <c:v>-0.17023975727352081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6D-451A-A189-E89ACDEBD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480080233873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5853658536585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43919510061242"/>
          <c:y val="0.90909222554077285"/>
          <c:w val="0.837399739666687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586962227547643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897448372127"/>
          <c:y val="0.23659305993690852"/>
          <c:w val="0.7862332750107474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D7-41A1-BDC8-56E43715D0A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(old)'!$I$21:$I$31</c:f>
              <c:numCache>
                <c:formatCode>General</c:formatCode>
                <c:ptCount val="11"/>
                <c:pt idx="3">
                  <c:v>-0.2208500000051572</c:v>
                </c:pt>
                <c:pt idx="4">
                  <c:v>-0.21965000000636792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D7-41A1-BDC8-56E43715D0A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(old)'!$J$21:$J$31</c:f>
              <c:numCache>
                <c:formatCode>General</c:formatCode>
                <c:ptCount val="11"/>
                <c:pt idx="1">
                  <c:v>-0.19890000000305008</c:v>
                </c:pt>
                <c:pt idx="2">
                  <c:v>-0.21332000000256812</c:v>
                </c:pt>
                <c:pt idx="5">
                  <c:v>-0.22710999999981141</c:v>
                </c:pt>
                <c:pt idx="6">
                  <c:v>-0.24773000000277534</c:v>
                </c:pt>
                <c:pt idx="7">
                  <c:v>-0.24063000000023749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D7-41A1-BDC8-56E43715D0A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(old)'!$K$21:$K$31</c:f>
              <c:numCache>
                <c:formatCode>General</c:formatCode>
                <c:ptCount val="11"/>
                <c:pt idx="8">
                  <c:v>-0.26683999999659136</c:v>
                </c:pt>
                <c:pt idx="9">
                  <c:v>-0.27788999999756925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D7-41A1-BDC8-56E43715D0A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(old)'!$L$21:$L$31</c:f>
              <c:numCache>
                <c:formatCode>General</c:formatCode>
                <c:ptCount val="11"/>
                <c:pt idx="10">
                  <c:v>-0.29358000000502216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D7-41A1-BDC8-56E43715D0A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D7-41A1-BDC8-56E43715D0A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D7-41A1-BDC8-56E43715D0A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(old)'!$O$21:$O$31</c:f>
              <c:numCache>
                <c:formatCode>General</c:formatCode>
                <c:ptCount val="11"/>
                <c:pt idx="0">
                  <c:v>2.2716687792962154E-3</c:v>
                </c:pt>
                <c:pt idx="1">
                  <c:v>-0.19520778646279738</c:v>
                </c:pt>
                <c:pt idx="2">
                  <c:v>-0.21804849371748927</c:v>
                </c:pt>
                <c:pt idx="3">
                  <c:v>-0.22366841483863842</c:v>
                </c:pt>
                <c:pt idx="4">
                  <c:v>-0.22366841483863842</c:v>
                </c:pt>
                <c:pt idx="5">
                  <c:v>-0.22828950629585743</c:v>
                </c:pt>
                <c:pt idx="6">
                  <c:v>-0.2472793040028668</c:v>
                </c:pt>
                <c:pt idx="7">
                  <c:v>-0.2472793040028668</c:v>
                </c:pt>
                <c:pt idx="8">
                  <c:v>-0.26604045395548248</c:v>
                </c:pt>
                <c:pt idx="9">
                  <c:v>-0.27452448905272053</c:v>
                </c:pt>
                <c:pt idx="10">
                  <c:v>-0.28476550163108871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D7-41A1-BDC8-56E43715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0872"/>
        <c:axId val="1"/>
      </c:scatterChart>
      <c:valAx>
        <c:axId val="1042060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168929970710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08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6159610483472178E-2"/>
          <c:y val="0.90851735015772872"/>
          <c:w val="0.96739301609037998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630022948702092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491452081036"/>
          <c:y val="0.23584978088695488"/>
          <c:w val="0.780106041574705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D-49C3-BBCD-392A022F9DB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B!$I$21:$I$31</c:f>
              <c:numCache>
                <c:formatCode>General</c:formatCode>
                <c:ptCount val="11"/>
                <c:pt idx="3">
                  <c:v>2.5124797248281538E-3</c:v>
                </c:pt>
                <c:pt idx="4">
                  <c:v>3.7124797236174345E-3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7D-49C3-BBCD-392A022F9DB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B!$J$21:$J$31</c:f>
              <c:numCache>
                <c:formatCode>General</c:formatCode>
                <c:ptCount val="11"/>
                <c:pt idx="1">
                  <c:v>-3.67345979611855E-3</c:v>
                </c:pt>
                <c:pt idx="2">
                  <c:v>4.4866726457257755E-3</c:v>
                </c:pt>
                <c:pt idx="5">
                  <c:v>8.2085214671678841E-4</c:v>
                </c:pt>
                <c:pt idx="6">
                  <c:v>-1.0259924310958013E-3</c:v>
                </c:pt>
                <c:pt idx="7">
                  <c:v>6.0740075714420527E-3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7D-49C3-BBCD-392A022F9DB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B!$K$21:$K$31</c:f>
              <c:numCache>
                <c:formatCode>General</c:formatCode>
                <c:ptCount val="11"/>
                <c:pt idx="8">
                  <c:v>-1.5888762645772658E-3</c:v>
                </c:pt>
                <c:pt idx="9">
                  <c:v>-4.2516300236457027E-3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7D-49C3-BBCD-392A022F9DB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B!$L$21:$L$31</c:f>
              <c:numCache>
                <c:formatCode>General</c:formatCode>
                <c:ptCount val="11"/>
                <c:pt idx="10">
                  <c:v>-9.8174505183123983E-3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7D-49C3-BBCD-392A022F9DB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7D-49C3-BBCD-392A022F9DB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7D-49C3-BBCD-392A022F9DB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B!$O$21:$O$31</c:f>
              <c:numCache>
                <c:formatCode>General</c:formatCode>
                <c:ptCount val="11"/>
                <c:pt idx="0">
                  <c:v>2.2716687788135771E-3</c:v>
                </c:pt>
                <c:pt idx="1">
                  <c:v>1.87537435889641E-5</c:v>
                </c:pt>
                <c:pt idx="2">
                  <c:v>-2.4182107279472351E-4</c:v>
                </c:pt>
                <c:pt idx="3">
                  <c:v>-3.0593510822737998E-4</c:v>
                </c:pt>
                <c:pt idx="4">
                  <c:v>-3.0593510822737998E-4</c:v>
                </c:pt>
                <c:pt idx="5">
                  <c:v>-3.5865414378656677E-4</c:v>
                </c:pt>
                <c:pt idx="6">
                  <c:v>-5.7529643053759894E-4</c:v>
                </c:pt>
                <c:pt idx="7">
                  <c:v>-5.7529643053759894E-4</c:v>
                </c:pt>
                <c:pt idx="8">
                  <c:v>-7.8933022334169234E-4</c:v>
                </c:pt>
                <c:pt idx="9">
                  <c:v>-8.8611907768863622E-4</c:v>
                </c:pt>
                <c:pt idx="10">
                  <c:v>-1.0029521486804795E-3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7D-49C3-BBCD-392A022F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1856"/>
        <c:axId val="1"/>
      </c:scatterChart>
      <c:valAx>
        <c:axId val="104206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59248418555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84660556173933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1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343822859838855"/>
          <c:y val="0.9088076726258274"/>
          <c:w val="0.9563716315565266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257175</xdr:colOff>
      <xdr:row>18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C597645-D753-DE4F-DCCD-01428B5BF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66675</xdr:colOff>
      <xdr:row>0</xdr:row>
      <xdr:rowOff>0</xdr:rowOff>
    </xdr:from>
    <xdr:to>
      <xdr:col>25</xdr:col>
      <xdr:colOff>438150</xdr:colOff>
      <xdr:row>18</xdr:row>
      <xdr:rowOff>28575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A317D142-CA3E-2088-1473-0AEB6E83C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104775</xdr:rowOff>
    </xdr:from>
    <xdr:to>
      <xdr:col>13</xdr:col>
      <xdr:colOff>133350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664790-0159-188E-0013-AB1019789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228600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7E540155-315A-52B3-8613-A042728CB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234" TargetMode="External"/><Relationship Id="rId1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konkoly.hu/cgi-bin/IBVS?6029" TargetMode="External"/><Relationship Id="rId17" Type="http://schemas.openxmlformats.org/officeDocument/2006/relationships/hyperlink" Target="http://vsolj.cetus-net.org/no40.pdf" TargetMode="External"/><Relationship Id="rId25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62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62" TargetMode="External"/><Relationship Id="rId6" Type="http://schemas.openxmlformats.org/officeDocument/2006/relationships/hyperlink" Target="http://www.konkoly.hu/cgi-bin/IBVS?5760" TargetMode="External"/><Relationship Id="rId11" Type="http://schemas.openxmlformats.org/officeDocument/2006/relationships/hyperlink" Target="http://www.bav-astro.de/sfs/BAVM_link.php?BAVMnr=231" TargetMode="External"/><Relationship Id="rId24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58" TargetMode="External"/><Relationship Id="rId23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vsolj.cetus-net.org/vsoljno51.pdf" TargetMode="External"/><Relationship Id="rId27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89"/>
  <sheetViews>
    <sheetView tabSelected="1"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</cols>
  <sheetData>
    <row r="1" spans="1:6" ht="20.25">
      <c r="A1" s="2" t="s">
        <v>53</v>
      </c>
    </row>
    <row r="2" spans="1:6">
      <c r="A2" s="1" t="s">
        <v>1</v>
      </c>
      <c r="B2" s="17" t="s">
        <v>54</v>
      </c>
      <c r="C2" s="18" t="s">
        <v>55</v>
      </c>
    </row>
    <row r="3" spans="1:6">
      <c r="C3" s="18" t="s">
        <v>56</v>
      </c>
    </row>
    <row r="4" spans="1:6">
      <c r="A4" s="3" t="s">
        <v>2</v>
      </c>
      <c r="C4" s="4">
        <v>31556.54</v>
      </c>
      <c r="D4" s="5">
        <v>0.93528999999999995</v>
      </c>
    </row>
    <row r="5" spans="1:6">
      <c r="A5" s="19" t="s">
        <v>57</v>
      </c>
      <c r="B5"/>
      <c r="C5" s="20">
        <v>-9.5</v>
      </c>
      <c r="D5" t="s">
        <v>58</v>
      </c>
    </row>
    <row r="6" spans="1:6">
      <c r="A6" s="3" t="s">
        <v>3</v>
      </c>
    </row>
    <row r="7" spans="1:6">
      <c r="A7" s="1" t="s">
        <v>4</v>
      </c>
      <c r="C7" s="1">
        <f>+C4</f>
        <v>31556.54</v>
      </c>
    </row>
    <row r="8" spans="1:6">
      <c r="A8" s="1" t="s">
        <v>5</v>
      </c>
      <c r="C8" s="1">
        <v>0.9352781031968187</v>
      </c>
    </row>
    <row r="9" spans="1:6">
      <c r="A9" s="21" t="s">
        <v>59</v>
      </c>
      <c r="B9" s="22">
        <v>42</v>
      </c>
      <c r="C9" s="23" t="str">
        <f>"F"&amp;B9</f>
        <v>F42</v>
      </c>
      <c r="D9" s="12" t="str">
        <f>"G"&amp;B9</f>
        <v>G42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24">
        <f ca="1">INTERCEPT(INDIRECT($D$9):G988,INDIRECT($C$9):F988)</f>
        <v>8.2981285643688341E-2</v>
      </c>
      <c r="D11" s="7"/>
      <c r="E11"/>
    </row>
    <row r="12" spans="1:6">
      <c r="A12" t="s">
        <v>9</v>
      </c>
      <c r="B12"/>
      <c r="C12" s="24">
        <f ca="1">SLOPE(INDIRECT($D$9):G988,INDIRECT($C$9):F988)</f>
        <v>-3.9089923507498069E-6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25" t="s">
        <v>13</v>
      </c>
      <c r="B15"/>
      <c r="C15" s="26">
        <f ca="1">(C7+C11)+(C8+C12)*INT(MAX(F21:F3529))</f>
        <v>59708.376226840133</v>
      </c>
      <c r="E15" s="27" t="s">
        <v>60</v>
      </c>
      <c r="F15" s="20">
        <v>1</v>
      </c>
    </row>
    <row r="16" spans="1:6">
      <c r="A16" s="25" t="s">
        <v>14</v>
      </c>
      <c r="B16"/>
      <c r="C16" s="26">
        <f ca="1">+C8+C12</f>
        <v>0.935274194204468</v>
      </c>
      <c r="E16" s="27" t="s">
        <v>61</v>
      </c>
      <c r="F16" s="24">
        <f ca="1">NOW()+15018.5+$C$5/24</f>
        <v>59969.855141550921</v>
      </c>
    </row>
    <row r="17" spans="1:21">
      <c r="A17" s="27" t="s">
        <v>62</v>
      </c>
      <c r="B17"/>
      <c r="C17">
        <f>COUNT(C21:C2187)</f>
        <v>68</v>
      </c>
      <c r="E17" s="27" t="s">
        <v>63</v>
      </c>
      <c r="F17" s="24">
        <f ca="1">ROUND(2*(F16-$C$7)/$C$8,0)/2+F15</f>
        <v>30380.5</v>
      </c>
    </row>
    <row r="18" spans="1:21">
      <c r="A18" s="25" t="s">
        <v>15</v>
      </c>
      <c r="B18"/>
      <c r="C18" s="28">
        <f ca="1">+C15</f>
        <v>59708.376226840133</v>
      </c>
      <c r="D18" s="29">
        <f ca="1">+C16</f>
        <v>0.935274194204468</v>
      </c>
      <c r="E18" s="27" t="s">
        <v>64</v>
      </c>
      <c r="F18" s="12">
        <f ca="1">ROUND(2*(F16-$C$15)/$C$16,0)/2+F15</f>
        <v>280.5</v>
      </c>
    </row>
    <row r="19" spans="1:21">
      <c r="E19" s="27" t="s">
        <v>65</v>
      </c>
      <c r="F19" s="30">
        <f ca="1">+$C$15+$C$16*F18-15018.5-$C$5/24</f>
        <v>44952.616471647823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66</v>
      </c>
      <c r="I20" s="9" t="s">
        <v>67</v>
      </c>
      <c r="J20" s="9" t="s">
        <v>68</v>
      </c>
      <c r="K20" s="9" t="s">
        <v>69</v>
      </c>
      <c r="L20" s="9" t="s">
        <v>27</v>
      </c>
      <c r="M20" s="9" t="s">
        <v>70</v>
      </c>
      <c r="N20" s="9" t="s">
        <v>29</v>
      </c>
      <c r="O20" s="9" t="s">
        <v>30</v>
      </c>
      <c r="P20" s="9" t="s">
        <v>31</v>
      </c>
      <c r="Q20" s="6" t="s">
        <v>32</v>
      </c>
      <c r="U20" s="31" t="s">
        <v>71</v>
      </c>
    </row>
    <row r="21" spans="1:21">
      <c r="A21" s="32" t="s">
        <v>72</v>
      </c>
      <c r="B21" s="33" t="s">
        <v>50</v>
      </c>
      <c r="C21" s="34">
        <v>28306.437999999998</v>
      </c>
      <c r="D21" s="35"/>
      <c r="E21" s="1">
        <f t="shared" ref="E21:E44" si="0">+(C21-C$7)/C$8</f>
        <v>-3475.0113243227029</v>
      </c>
      <c r="F21" s="1">
        <f t="shared" ref="F21:F44" si="1">ROUND(2*E21,0)/2</f>
        <v>-3475</v>
      </c>
      <c r="G21" s="1">
        <f t="shared" ref="G21:G37" si="2">+C21-(C$7+F21*C$8)</f>
        <v>-1.0591391055640997E-2</v>
      </c>
      <c r="H21" s="1">
        <f t="shared" ref="H21:H31" si="3">G21</f>
        <v>-1.0591391055640997E-2</v>
      </c>
      <c r="O21" s="1">
        <f t="shared" ref="O21:O44" ca="1" si="4">+C$11+C$12*F21</f>
        <v>9.6565034062543922E-2</v>
      </c>
      <c r="Q21" s="75">
        <f t="shared" ref="Q21:Q44" si="5">+C21-15018.5</f>
        <v>13287.937999999998</v>
      </c>
    </row>
    <row r="22" spans="1:21">
      <c r="A22" s="32" t="s">
        <v>72</v>
      </c>
      <c r="B22" s="33" t="s">
        <v>50</v>
      </c>
      <c r="C22" s="34">
        <v>28696.444</v>
      </c>
      <c r="D22" s="35"/>
      <c r="E22" s="1">
        <f t="shared" si="0"/>
        <v>-3058.016637216328</v>
      </c>
      <c r="F22" s="1">
        <f t="shared" si="1"/>
        <v>-3058</v>
      </c>
      <c r="G22" s="1">
        <f t="shared" si="2"/>
        <v>-1.5560424129944295E-2</v>
      </c>
      <c r="H22" s="1">
        <f t="shared" si="3"/>
        <v>-1.5560424129944295E-2</v>
      </c>
      <c r="O22" s="1">
        <f t="shared" ca="1" si="4"/>
        <v>9.4934984252281251E-2</v>
      </c>
      <c r="Q22" s="75">
        <f t="shared" si="5"/>
        <v>13677.944</v>
      </c>
    </row>
    <row r="23" spans="1:21">
      <c r="A23" s="32" t="s">
        <v>73</v>
      </c>
      <c r="B23" s="33" t="s">
        <v>50</v>
      </c>
      <c r="C23" s="34">
        <v>31211.41</v>
      </c>
      <c r="D23" s="35"/>
      <c r="E23" s="1">
        <f t="shared" si="0"/>
        <v>-369.01323661949596</v>
      </c>
      <c r="F23" s="1">
        <f t="shared" si="1"/>
        <v>-369</v>
      </c>
      <c r="G23" s="1">
        <f t="shared" si="2"/>
        <v>-1.2379920375678921E-2</v>
      </c>
      <c r="H23" s="1">
        <f t="shared" si="3"/>
        <v>-1.2379920375678921E-2</v>
      </c>
      <c r="O23" s="1">
        <f t="shared" ca="1" si="4"/>
        <v>8.4423703821115026E-2</v>
      </c>
      <c r="Q23" s="75">
        <f t="shared" si="5"/>
        <v>16192.91</v>
      </c>
    </row>
    <row r="24" spans="1:21">
      <c r="A24" s="32" t="s">
        <v>73</v>
      </c>
      <c r="B24" s="33" t="s">
        <v>50</v>
      </c>
      <c r="C24" s="34">
        <v>31212.35</v>
      </c>
      <c r="D24" s="35"/>
      <c r="E24" s="1">
        <f t="shared" si="0"/>
        <v>-368.00818796414336</v>
      </c>
      <c r="F24" s="1">
        <f t="shared" si="1"/>
        <v>-368</v>
      </c>
      <c r="G24" s="1">
        <f t="shared" si="2"/>
        <v>-7.658023572730599E-3</v>
      </c>
      <c r="H24" s="1">
        <f t="shared" si="3"/>
        <v>-7.658023572730599E-3</v>
      </c>
      <c r="O24" s="1">
        <f t="shared" ca="1" si="4"/>
        <v>8.4419794828764272E-2</v>
      </c>
      <c r="Q24" s="75">
        <f t="shared" si="5"/>
        <v>16193.849999999999</v>
      </c>
    </row>
    <row r="25" spans="1:21">
      <c r="A25" s="32" t="s">
        <v>73</v>
      </c>
      <c r="B25" s="33" t="s">
        <v>50</v>
      </c>
      <c r="C25" s="34">
        <v>31213.3</v>
      </c>
      <c r="D25" s="35"/>
      <c r="E25" s="1">
        <f t="shared" si="0"/>
        <v>-366.99244730181675</v>
      </c>
      <c r="F25" s="1">
        <f t="shared" si="1"/>
        <v>-367</v>
      </c>
      <c r="G25" s="1">
        <f t="shared" si="2"/>
        <v>7.0638732322549913E-3</v>
      </c>
      <c r="H25" s="1">
        <f t="shared" si="3"/>
        <v>7.0638732322549913E-3</v>
      </c>
      <c r="O25" s="1">
        <f t="shared" ca="1" si="4"/>
        <v>8.4415885836413518E-2</v>
      </c>
      <c r="Q25" s="75">
        <f t="shared" si="5"/>
        <v>16194.8</v>
      </c>
    </row>
    <row r="26" spans="1:21">
      <c r="A26" s="32" t="s">
        <v>73</v>
      </c>
      <c r="B26" s="33" t="s">
        <v>50</v>
      </c>
      <c r="C26" s="34">
        <v>31241.37</v>
      </c>
      <c r="D26" s="35"/>
      <c r="E26" s="1">
        <f t="shared" si="0"/>
        <v>-336.97998373183117</v>
      </c>
      <c r="F26" s="1">
        <f t="shared" si="1"/>
        <v>-337</v>
      </c>
      <c r="G26" s="1">
        <f t="shared" si="2"/>
        <v>1.8720777326961979E-2</v>
      </c>
      <c r="H26" s="1">
        <f t="shared" si="3"/>
        <v>1.8720777326961979E-2</v>
      </c>
      <c r="O26" s="1">
        <f t="shared" ca="1" si="4"/>
        <v>8.4298616065891022E-2</v>
      </c>
      <c r="Q26" s="75">
        <f t="shared" si="5"/>
        <v>16222.869999999999</v>
      </c>
    </row>
    <row r="27" spans="1:21">
      <c r="A27" s="32" t="s">
        <v>73</v>
      </c>
      <c r="B27" s="33" t="s">
        <v>50</v>
      </c>
      <c r="C27" s="34">
        <v>31242.31</v>
      </c>
      <c r="D27" s="35"/>
      <c r="E27" s="1">
        <f t="shared" si="0"/>
        <v>-335.97493507647471</v>
      </c>
      <c r="F27" s="1">
        <f t="shared" si="1"/>
        <v>-336</v>
      </c>
      <c r="G27" s="1">
        <f t="shared" si="2"/>
        <v>2.3442674129910301E-2</v>
      </c>
      <c r="H27" s="1">
        <f t="shared" si="3"/>
        <v>2.3442674129910301E-2</v>
      </c>
      <c r="O27" s="1">
        <f t="shared" ca="1" si="4"/>
        <v>8.4294707073540281E-2</v>
      </c>
      <c r="Q27" s="75">
        <f t="shared" si="5"/>
        <v>16223.810000000001</v>
      </c>
    </row>
    <row r="28" spans="1:21">
      <c r="A28" s="32" t="s">
        <v>73</v>
      </c>
      <c r="B28" s="33" t="s">
        <v>50</v>
      </c>
      <c r="C28" s="34">
        <v>31256.3</v>
      </c>
      <c r="D28" s="35"/>
      <c r="E28" s="1">
        <f t="shared" si="0"/>
        <v>-321.01681732285726</v>
      </c>
      <c r="F28" s="1">
        <f t="shared" si="1"/>
        <v>-321</v>
      </c>
      <c r="G28" s="1">
        <f t="shared" si="2"/>
        <v>-1.5728873822808964E-2</v>
      </c>
      <c r="H28" s="1">
        <f t="shared" si="3"/>
        <v>-1.5728873822808964E-2</v>
      </c>
      <c r="O28" s="1">
        <f t="shared" ca="1" si="4"/>
        <v>8.4236072188279026E-2</v>
      </c>
      <c r="Q28" s="75">
        <f t="shared" si="5"/>
        <v>16237.8</v>
      </c>
    </row>
    <row r="29" spans="1:21">
      <c r="A29" s="32" t="s">
        <v>73</v>
      </c>
      <c r="B29" s="33" t="s">
        <v>50</v>
      </c>
      <c r="C29" s="34">
        <v>31257.25</v>
      </c>
      <c r="D29" s="35"/>
      <c r="E29" s="1">
        <f t="shared" si="0"/>
        <v>-320.00107666053066</v>
      </c>
      <c r="F29" s="1">
        <f t="shared" si="1"/>
        <v>-320</v>
      </c>
      <c r="G29" s="1">
        <f t="shared" si="2"/>
        <v>-1.0069770178233739E-3</v>
      </c>
      <c r="H29" s="1">
        <f t="shared" si="3"/>
        <v>-1.0069770178233739E-3</v>
      </c>
      <c r="O29" s="1">
        <f t="shared" ca="1" si="4"/>
        <v>8.4232163195928272E-2</v>
      </c>
      <c r="Q29" s="75">
        <f t="shared" si="5"/>
        <v>16238.75</v>
      </c>
    </row>
    <row r="30" spans="1:21">
      <c r="A30" s="32" t="s">
        <v>73</v>
      </c>
      <c r="B30" s="33" t="s">
        <v>50</v>
      </c>
      <c r="C30" s="34">
        <v>31270.35</v>
      </c>
      <c r="D30" s="35"/>
      <c r="E30" s="1">
        <f t="shared" si="0"/>
        <v>-305.99454752740735</v>
      </c>
      <c r="F30" s="1">
        <f t="shared" si="1"/>
        <v>-306</v>
      </c>
      <c r="G30" s="1">
        <f t="shared" si="2"/>
        <v>5.0995782257814426E-3</v>
      </c>
      <c r="H30" s="1">
        <f t="shared" si="3"/>
        <v>5.0995782257814426E-3</v>
      </c>
      <c r="O30" s="1">
        <f t="shared" ca="1" si="4"/>
        <v>8.4177437303017785E-2</v>
      </c>
      <c r="Q30" s="75">
        <f t="shared" si="5"/>
        <v>16251.849999999999</v>
      </c>
    </row>
    <row r="31" spans="1:21">
      <c r="A31" s="32" t="s">
        <v>73</v>
      </c>
      <c r="B31" s="33" t="s">
        <v>50</v>
      </c>
      <c r="C31" s="34">
        <v>31271.279999999999</v>
      </c>
      <c r="D31" s="35"/>
      <c r="E31" s="1">
        <f t="shared" si="0"/>
        <v>-305.0001908790249</v>
      </c>
      <c r="F31" s="1">
        <f t="shared" si="1"/>
        <v>-305</v>
      </c>
      <c r="G31" s="1">
        <f t="shared" si="2"/>
        <v>-1.7852497330750339E-4</v>
      </c>
      <c r="H31" s="1">
        <f t="shared" si="3"/>
        <v>-1.7852497330750339E-4</v>
      </c>
      <c r="O31" s="1">
        <f t="shared" ca="1" si="4"/>
        <v>8.4173528310667031E-2</v>
      </c>
      <c r="Q31" s="75">
        <f t="shared" si="5"/>
        <v>16252.779999999999</v>
      </c>
    </row>
    <row r="32" spans="1:21">
      <c r="A32" s="1" t="s">
        <v>23</v>
      </c>
      <c r="C32" s="35">
        <v>31556.54</v>
      </c>
      <c r="D32" s="35" t="s">
        <v>11</v>
      </c>
      <c r="E32" s="1">
        <f t="shared" si="0"/>
        <v>0</v>
      </c>
      <c r="F32" s="1">
        <f t="shared" si="1"/>
        <v>0</v>
      </c>
      <c r="G32" s="1">
        <f t="shared" si="2"/>
        <v>0</v>
      </c>
      <c r="H32" s="12">
        <v>0</v>
      </c>
      <c r="O32" s="1">
        <f t="shared" ca="1" si="4"/>
        <v>8.2981285643688341E-2</v>
      </c>
      <c r="Q32" s="75">
        <f t="shared" si="5"/>
        <v>16538.04</v>
      </c>
    </row>
    <row r="33" spans="1:21">
      <c r="A33" s="1" t="s">
        <v>33</v>
      </c>
      <c r="C33" s="35">
        <v>46904.45</v>
      </c>
      <c r="D33" s="35"/>
      <c r="E33" s="1">
        <f t="shared" si="0"/>
        <v>16409.996072334223</v>
      </c>
      <c r="F33" s="1">
        <f t="shared" si="1"/>
        <v>16410</v>
      </c>
      <c r="G33" s="1">
        <f t="shared" si="2"/>
        <v>-3.67345979611855E-3</v>
      </c>
      <c r="I33" s="1">
        <f>G33</f>
        <v>-3.67345979611855E-3</v>
      </c>
      <c r="O33" s="1">
        <f t="shared" ca="1" si="4"/>
        <v>1.8834721167884011E-2</v>
      </c>
      <c r="Q33" s="75">
        <f t="shared" si="5"/>
        <v>31885.949999999997</v>
      </c>
    </row>
    <row r="34" spans="1:21">
      <c r="A34" s="1" t="s">
        <v>36</v>
      </c>
      <c r="C34" s="35">
        <v>48679.616000000002</v>
      </c>
      <c r="D34" s="35">
        <v>6.0000000000000001E-3</v>
      </c>
      <c r="E34" s="1">
        <f t="shared" si="0"/>
        <v>18308.00479715352</v>
      </c>
      <c r="F34" s="1">
        <f t="shared" si="1"/>
        <v>18308</v>
      </c>
      <c r="G34" s="1">
        <f t="shared" si="2"/>
        <v>4.4866726457257755E-3</v>
      </c>
      <c r="I34" s="1">
        <f>G34</f>
        <v>4.4866726457257755E-3</v>
      </c>
      <c r="O34" s="1">
        <f t="shared" ca="1" si="4"/>
        <v>1.141545368616087E-2</v>
      </c>
      <c r="Q34" s="75">
        <f t="shared" si="5"/>
        <v>33661.116000000002</v>
      </c>
    </row>
    <row r="35" spans="1:21">
      <c r="A35" s="1" t="s">
        <v>38</v>
      </c>
      <c r="C35" s="35">
        <v>49116.388899999998</v>
      </c>
      <c r="D35" s="35"/>
      <c r="E35" s="1">
        <f t="shared" si="0"/>
        <v>18775.002686345077</v>
      </c>
      <c r="F35" s="1">
        <f t="shared" si="1"/>
        <v>18775</v>
      </c>
      <c r="G35" s="1">
        <f t="shared" si="2"/>
        <v>2.5124797248281538E-3</v>
      </c>
      <c r="J35" s="1">
        <f>G35</f>
        <v>2.5124797248281538E-3</v>
      </c>
      <c r="O35" s="1">
        <f t="shared" ca="1" si="4"/>
        <v>9.5899542583607195E-3</v>
      </c>
      <c r="Q35" s="75">
        <f t="shared" si="5"/>
        <v>34097.888899999998</v>
      </c>
    </row>
    <row r="36" spans="1:21">
      <c r="A36" s="1" t="s">
        <v>38</v>
      </c>
      <c r="C36" s="35">
        <v>49116.390099999997</v>
      </c>
      <c r="D36" s="35"/>
      <c r="E36" s="1">
        <f t="shared" si="0"/>
        <v>18775.003969385911</v>
      </c>
      <c r="F36" s="1">
        <f t="shared" si="1"/>
        <v>18775</v>
      </c>
      <c r="G36" s="1">
        <f t="shared" si="2"/>
        <v>3.7124797236174345E-3</v>
      </c>
      <c r="J36" s="1">
        <f>G36</f>
        <v>3.7124797236174345E-3</v>
      </c>
      <c r="O36" s="1">
        <f t="shared" ca="1" si="4"/>
        <v>9.5899542583607195E-3</v>
      </c>
      <c r="Q36" s="75">
        <f t="shared" si="5"/>
        <v>34097.890099999997</v>
      </c>
    </row>
    <row r="37" spans="1:21">
      <c r="A37" s="1" t="s">
        <v>42</v>
      </c>
      <c r="C37" s="35">
        <v>49475.534</v>
      </c>
      <c r="D37" s="35"/>
      <c r="E37" s="1">
        <f t="shared" si="0"/>
        <v>19159.00087765569</v>
      </c>
      <c r="F37" s="1">
        <f t="shared" si="1"/>
        <v>19159</v>
      </c>
      <c r="G37" s="1">
        <f t="shared" si="2"/>
        <v>8.2085214671678841E-4</v>
      </c>
      <c r="I37" s="1">
        <f>G37</f>
        <v>8.2085214671678841E-4</v>
      </c>
      <c r="O37" s="1">
        <f t="shared" ca="1" si="4"/>
        <v>8.088901195672793E-3</v>
      </c>
      <c r="Q37" s="75">
        <f t="shared" si="5"/>
        <v>34457.034</v>
      </c>
    </row>
    <row r="38" spans="1:21">
      <c r="A38" s="36" t="s">
        <v>74</v>
      </c>
      <c r="B38" s="37"/>
      <c r="C38" s="36">
        <v>49547.423999999999</v>
      </c>
      <c r="D38" s="38" t="s">
        <v>67</v>
      </c>
      <c r="E38" s="1">
        <f t="shared" si="0"/>
        <v>19235.865715776326</v>
      </c>
      <c r="F38" s="1">
        <f t="shared" si="1"/>
        <v>19236</v>
      </c>
      <c r="O38" s="1">
        <f t="shared" ca="1" si="4"/>
        <v>7.7879087846650513E-3</v>
      </c>
      <c r="Q38" s="75">
        <f t="shared" si="5"/>
        <v>34528.923999999999</v>
      </c>
      <c r="U38" s="12">
        <v>-0.12559309400967322</v>
      </c>
    </row>
    <row r="39" spans="1:21">
      <c r="A39" s="36" t="s">
        <v>74</v>
      </c>
      <c r="B39" s="37"/>
      <c r="C39" s="36">
        <v>49563.485999999997</v>
      </c>
      <c r="D39" s="38" t="s">
        <v>67</v>
      </c>
      <c r="E39" s="1">
        <f t="shared" si="0"/>
        <v>19253.039217374513</v>
      </c>
      <c r="F39" s="1">
        <f t="shared" si="1"/>
        <v>19253</v>
      </c>
      <c r="O39" s="1">
        <f t="shared" ca="1" si="4"/>
        <v>7.7214559147023021E-3</v>
      </c>
      <c r="Q39" s="75">
        <f t="shared" si="5"/>
        <v>34544.985999999997</v>
      </c>
      <c r="U39" s="12">
        <v>3.6679151649877895E-2</v>
      </c>
    </row>
    <row r="40" spans="1:21">
      <c r="A40" s="36" t="s">
        <v>74</v>
      </c>
      <c r="B40" s="37"/>
      <c r="C40" s="36">
        <v>49568.542999999998</v>
      </c>
      <c r="D40" s="38" t="s">
        <v>67</v>
      </c>
      <c r="E40" s="1">
        <f t="shared" si="0"/>
        <v>19258.446165300178</v>
      </c>
      <c r="F40" s="1">
        <f t="shared" si="1"/>
        <v>19258.5</v>
      </c>
      <c r="O40" s="1">
        <f t="shared" ca="1" si="4"/>
        <v>7.6999564567731826E-3</v>
      </c>
      <c r="Q40" s="75">
        <f t="shared" si="5"/>
        <v>34550.042999999998</v>
      </c>
      <c r="U40" s="12">
        <v>-5.0350415935099591E-2</v>
      </c>
    </row>
    <row r="41" spans="1:21">
      <c r="A41" s="36" t="s">
        <v>74</v>
      </c>
      <c r="B41" s="37"/>
      <c r="C41" s="36">
        <v>49644.629000000001</v>
      </c>
      <c r="D41" s="38" t="s">
        <v>67</v>
      </c>
      <c r="E41" s="1">
        <f t="shared" si="0"/>
        <v>19339.797369546206</v>
      </c>
      <c r="F41" s="1">
        <f t="shared" si="1"/>
        <v>19340</v>
      </c>
      <c r="O41" s="1">
        <f t="shared" ca="1" si="4"/>
        <v>7.3813735801870756E-3</v>
      </c>
      <c r="Q41" s="75">
        <f t="shared" si="5"/>
        <v>34626.129000000001</v>
      </c>
      <c r="U41" s="12">
        <v>-0.18951582647423493</v>
      </c>
    </row>
    <row r="42" spans="1:21">
      <c r="A42" s="39" t="s">
        <v>43</v>
      </c>
      <c r="B42" s="39"/>
      <c r="C42" s="36">
        <v>50951.400999999998</v>
      </c>
      <c r="D42" s="36">
        <v>7.0000000000000001E-3</v>
      </c>
      <c r="E42" s="1">
        <f t="shared" si="0"/>
        <v>20736.998903008178</v>
      </c>
      <c r="F42" s="1">
        <f t="shared" si="1"/>
        <v>20737</v>
      </c>
      <c r="G42" s="1">
        <f t="shared" ref="G42:G60" si="6">+C42-(C$7+F42*C$8)</f>
        <v>-1.0259924310958013E-3</v>
      </c>
      <c r="I42" s="1">
        <f>G42</f>
        <v>-1.0259924310958013E-3</v>
      </c>
      <c r="O42" s="1">
        <f t="shared" ca="1" si="4"/>
        <v>1.9205112661895979E-3</v>
      </c>
      <c r="Q42" s="75">
        <f t="shared" si="5"/>
        <v>35932.900999999998</v>
      </c>
    </row>
    <row r="43" spans="1:21">
      <c r="A43" s="39" t="s">
        <v>46</v>
      </c>
      <c r="B43" s="39"/>
      <c r="C43" s="36">
        <v>50951.408100000001</v>
      </c>
      <c r="D43" s="36">
        <v>4.0000000000000002E-4</v>
      </c>
      <c r="E43" s="1">
        <f t="shared" si="0"/>
        <v>20737.006494333127</v>
      </c>
      <c r="F43" s="1">
        <f t="shared" si="1"/>
        <v>20737</v>
      </c>
      <c r="G43" s="1">
        <f t="shared" si="6"/>
        <v>6.0740075714420527E-3</v>
      </c>
      <c r="J43" s="1">
        <f>G43</f>
        <v>6.0740075714420527E-3</v>
      </c>
      <c r="O43" s="1">
        <f t="shared" ca="1" si="4"/>
        <v>1.9205112661895979E-3</v>
      </c>
      <c r="Q43" s="75">
        <f t="shared" si="5"/>
        <v>35932.908100000001</v>
      </c>
    </row>
    <row r="44" spans="1:21">
      <c r="A44" s="32" t="s">
        <v>75</v>
      </c>
      <c r="B44" s="33" t="s">
        <v>50</v>
      </c>
      <c r="C44" s="34">
        <v>51642.575199999999</v>
      </c>
      <c r="D44" s="35"/>
      <c r="E44" s="1">
        <f t="shared" si="0"/>
        <v>21476.002839524535</v>
      </c>
      <c r="F44" s="1">
        <f t="shared" si="1"/>
        <v>21476</v>
      </c>
      <c r="G44" s="1">
        <f t="shared" si="6"/>
        <v>2.6557451201369986E-3</v>
      </c>
      <c r="K44" s="1">
        <f>G44</f>
        <v>2.6557451201369986E-3</v>
      </c>
      <c r="O44" s="1">
        <f t="shared" ca="1" si="4"/>
        <v>-9.6823408101451292E-4</v>
      </c>
      <c r="Q44" s="75">
        <f t="shared" si="5"/>
        <v>36624.075199999999</v>
      </c>
    </row>
    <row r="45" spans="1:21">
      <c r="A45" s="40" t="s">
        <v>76</v>
      </c>
      <c r="B45" s="41" t="s">
        <v>50</v>
      </c>
      <c r="C45" s="40">
        <v>51899.294419999998</v>
      </c>
      <c r="D45" s="40">
        <v>1.5E-3</v>
      </c>
      <c r="E45" s="1">
        <f t="shared" ref="E45:E78" si="7">+(C45-C$7)/C$8</f>
        <v>21750.48720852935</v>
      </c>
      <c r="F45" s="1">
        <f t="shared" ref="F45:F83" si="8">ROUND(2*E45,0)/2</f>
        <v>21750.5</v>
      </c>
      <c r="G45" s="1">
        <f t="shared" si="6"/>
        <v>-1.1963582408498041E-2</v>
      </c>
      <c r="K45" s="1">
        <f>G45</f>
        <v>-1.1963582408498041E-2</v>
      </c>
      <c r="O45" s="1">
        <f t="shared" ref="O45:O78" ca="1" si="9">+C$11+C$12*F45</f>
        <v>-2.0412524812953303E-3</v>
      </c>
      <c r="Q45" s="75">
        <f t="shared" ref="Q45:Q78" si="10">+C45-15018.5</f>
        <v>36880.794419999998</v>
      </c>
      <c r="U45" s="12"/>
    </row>
    <row r="46" spans="1:21">
      <c r="A46" s="40" t="s">
        <v>76</v>
      </c>
      <c r="B46" s="41" t="s">
        <v>50</v>
      </c>
      <c r="C46" s="40">
        <v>52321.58322</v>
      </c>
      <c r="D46" s="40">
        <v>2.2000000000000001E-3</v>
      </c>
      <c r="E46" s="1">
        <f t="shared" si="7"/>
        <v>22201.998687902811</v>
      </c>
      <c r="F46" s="1">
        <f t="shared" si="8"/>
        <v>22202</v>
      </c>
      <c r="G46" s="1">
        <f t="shared" si="6"/>
        <v>-1.2271757732378319E-3</v>
      </c>
      <c r="K46" s="1">
        <f>G46</f>
        <v>-1.2271757732378319E-3</v>
      </c>
      <c r="O46" s="1">
        <f t="shared" ca="1" si="9"/>
        <v>-3.8061625276588767E-3</v>
      </c>
      <c r="Q46" s="75">
        <f t="shared" si="10"/>
        <v>37303.08322</v>
      </c>
      <c r="U46" s="12"/>
    </row>
    <row r="47" spans="1:21">
      <c r="A47" s="32" t="s">
        <v>77</v>
      </c>
      <c r="B47" s="33" t="s">
        <v>50</v>
      </c>
      <c r="C47" s="34">
        <v>52326.258099999999</v>
      </c>
      <c r="D47" s="35"/>
      <c r="E47" s="1">
        <f t="shared" si="7"/>
        <v>22206.997072858067</v>
      </c>
      <c r="F47" s="1">
        <f t="shared" si="8"/>
        <v>22207</v>
      </c>
      <c r="G47" s="1">
        <f t="shared" si="6"/>
        <v>-2.7376917496440001E-3</v>
      </c>
      <c r="K47" s="1">
        <f>G47</f>
        <v>-2.7376917496440001E-3</v>
      </c>
      <c r="O47" s="1">
        <f t="shared" ca="1" si="9"/>
        <v>-3.8257074894126192E-3</v>
      </c>
      <c r="Q47" s="75">
        <f t="shared" si="10"/>
        <v>37307.758099999999</v>
      </c>
    </row>
    <row r="48" spans="1:21">
      <c r="A48" s="32" t="s">
        <v>78</v>
      </c>
      <c r="B48" s="33" t="s">
        <v>50</v>
      </c>
      <c r="C48" s="34">
        <v>52409.498500000002</v>
      </c>
      <c r="D48" s="35"/>
      <c r="E48" s="1">
        <f t="shared" si="7"/>
        <v>22295.997766572036</v>
      </c>
      <c r="F48" s="1">
        <f t="shared" si="8"/>
        <v>22296</v>
      </c>
      <c r="G48" s="1">
        <f t="shared" si="6"/>
        <v>-2.0888762664981186E-3</v>
      </c>
      <c r="K48" s="1">
        <f>G48</f>
        <v>-2.0888762664981186E-3</v>
      </c>
      <c r="O48" s="1">
        <f t="shared" ca="1" si="9"/>
        <v>-4.1736078086293538E-3</v>
      </c>
      <c r="Q48" s="75">
        <f t="shared" si="10"/>
        <v>37390.998500000002</v>
      </c>
    </row>
    <row r="49" spans="1:21">
      <c r="A49" s="39" t="s">
        <v>48</v>
      </c>
      <c r="B49" s="39"/>
      <c r="C49" s="36">
        <v>52409.499000000003</v>
      </c>
      <c r="D49" s="36"/>
      <c r="E49" s="1">
        <f t="shared" si="7"/>
        <v>22295.998301172389</v>
      </c>
      <c r="F49" s="1">
        <f t="shared" si="8"/>
        <v>22296</v>
      </c>
      <c r="G49" s="1">
        <f t="shared" si="6"/>
        <v>-1.5888762645772658E-3</v>
      </c>
      <c r="J49" s="1">
        <f>G49</f>
        <v>-1.5888762645772658E-3</v>
      </c>
      <c r="O49" s="1">
        <f t="shared" ca="1" si="9"/>
        <v>-4.1736078086293538E-3</v>
      </c>
      <c r="Q49" s="75">
        <f t="shared" si="10"/>
        <v>37390.999000000003</v>
      </c>
    </row>
    <row r="50" spans="1:21">
      <c r="A50" s="32" t="s">
        <v>78</v>
      </c>
      <c r="B50" s="33" t="s">
        <v>50</v>
      </c>
      <c r="C50" s="34">
        <v>52409.499400000001</v>
      </c>
      <c r="D50" s="35"/>
      <c r="E50" s="1">
        <f t="shared" si="7"/>
        <v>22295.998728852664</v>
      </c>
      <c r="F50" s="1">
        <f t="shared" si="8"/>
        <v>22296</v>
      </c>
      <c r="G50" s="1">
        <f t="shared" si="6"/>
        <v>-1.1888762674061581E-3</v>
      </c>
      <c r="K50" s="1">
        <f t="shared" ref="K50:K57" si="11">G50</f>
        <v>-1.1888762674061581E-3</v>
      </c>
      <c r="O50" s="1">
        <f t="shared" ca="1" si="9"/>
        <v>-4.1736078086293538E-3</v>
      </c>
      <c r="Q50" s="75">
        <f t="shared" si="10"/>
        <v>37390.999400000001</v>
      </c>
    </row>
    <row r="51" spans="1:21">
      <c r="A51" s="32" t="s">
        <v>77</v>
      </c>
      <c r="B51" s="33" t="s">
        <v>50</v>
      </c>
      <c r="C51" s="34">
        <v>52416.049400000004</v>
      </c>
      <c r="D51" s="35"/>
      <c r="E51" s="1">
        <f t="shared" si="7"/>
        <v>22303.001993419228</v>
      </c>
      <c r="F51" s="1">
        <f t="shared" si="8"/>
        <v>22303</v>
      </c>
      <c r="G51" s="1">
        <f t="shared" si="6"/>
        <v>1.8644013543962501E-3</v>
      </c>
      <c r="K51" s="1">
        <f t="shared" si="11"/>
        <v>1.8644013543962501E-3</v>
      </c>
      <c r="O51" s="1">
        <f t="shared" ca="1" si="9"/>
        <v>-4.2009707550846043E-3</v>
      </c>
      <c r="Q51" s="75">
        <f t="shared" si="10"/>
        <v>37397.549400000004</v>
      </c>
    </row>
    <row r="52" spans="1:21">
      <c r="A52" s="32" t="s">
        <v>79</v>
      </c>
      <c r="B52" s="33" t="s">
        <v>50</v>
      </c>
      <c r="C52" s="34">
        <v>52763.0334</v>
      </c>
      <c r="D52" s="35"/>
      <c r="E52" s="1">
        <f t="shared" si="7"/>
        <v>22673.997528131302</v>
      </c>
      <c r="F52" s="1">
        <f t="shared" si="8"/>
        <v>22674</v>
      </c>
      <c r="G52" s="1">
        <f t="shared" si="6"/>
        <v>-2.3118846729630604E-3</v>
      </c>
      <c r="K52" s="1">
        <f t="shared" si="11"/>
        <v>-2.3118846729630604E-3</v>
      </c>
      <c r="O52" s="1">
        <f t="shared" ca="1" si="9"/>
        <v>-5.6512069172127838E-3</v>
      </c>
      <c r="Q52" s="75">
        <f t="shared" si="10"/>
        <v>37744.5334</v>
      </c>
    </row>
    <row r="53" spans="1:21">
      <c r="A53" s="42" t="s">
        <v>49</v>
      </c>
      <c r="B53" s="43" t="s">
        <v>50</v>
      </c>
      <c r="C53" s="36">
        <v>53068.867400000003</v>
      </c>
      <c r="D53" s="36">
        <v>2.0000000000000001E-4</v>
      </c>
      <c r="E53" s="1">
        <f t="shared" si="7"/>
        <v>23000.995454154214</v>
      </c>
      <c r="F53" s="1">
        <f t="shared" si="8"/>
        <v>23001</v>
      </c>
      <c r="G53" s="1">
        <f t="shared" si="6"/>
        <v>-4.2516300236457027E-3</v>
      </c>
      <c r="K53" s="1">
        <f t="shared" si="11"/>
        <v>-4.2516300236457027E-3</v>
      </c>
      <c r="O53" s="1">
        <f t="shared" ca="1" si="9"/>
        <v>-6.9294474159079661E-3</v>
      </c>
      <c r="Q53" s="75">
        <f t="shared" si="10"/>
        <v>38050.367400000003</v>
      </c>
    </row>
    <row r="54" spans="1:21">
      <c r="A54" s="40" t="s">
        <v>76</v>
      </c>
      <c r="B54" s="41" t="s">
        <v>50</v>
      </c>
      <c r="C54" s="40">
        <v>53148.368289999999</v>
      </c>
      <c r="D54" s="40">
        <v>2.0999999999999999E-3</v>
      </c>
      <c r="E54" s="1">
        <f t="shared" si="7"/>
        <v>23085.997861169046</v>
      </c>
      <c r="F54" s="1">
        <f t="shared" si="8"/>
        <v>23086</v>
      </c>
      <c r="G54" s="1">
        <f t="shared" si="6"/>
        <v>-2.000401756959036E-3</v>
      </c>
      <c r="K54" s="1">
        <f t="shared" si="11"/>
        <v>-2.000401756959036E-3</v>
      </c>
      <c r="O54" s="1">
        <f t="shared" ca="1" si="9"/>
        <v>-7.2617117657216984E-3</v>
      </c>
      <c r="Q54" s="75">
        <f t="shared" si="10"/>
        <v>38129.868289999999</v>
      </c>
      <c r="U54" s="12"/>
    </row>
    <row r="55" spans="1:21">
      <c r="A55" s="32" t="s">
        <v>80</v>
      </c>
      <c r="B55" s="33" t="s">
        <v>81</v>
      </c>
      <c r="C55" s="34">
        <v>53814.280500000001</v>
      </c>
      <c r="D55" s="35"/>
      <c r="E55" s="1">
        <f t="shared" si="7"/>
        <v>23797.991660365122</v>
      </c>
      <c r="F55" s="1">
        <f t="shared" si="8"/>
        <v>23798</v>
      </c>
      <c r="G55" s="1">
        <f t="shared" si="6"/>
        <v>-7.7998778942856006E-3</v>
      </c>
      <c r="K55" s="1">
        <f t="shared" si="11"/>
        <v>-7.7998778942856006E-3</v>
      </c>
      <c r="O55" s="1">
        <f t="shared" ca="1" si="9"/>
        <v>-1.0044914319455561E-2</v>
      </c>
      <c r="Q55" s="75">
        <f t="shared" si="10"/>
        <v>38795.780500000001</v>
      </c>
    </row>
    <row r="56" spans="1:21">
      <c r="A56" s="44" t="s">
        <v>82</v>
      </c>
      <c r="B56" s="39"/>
      <c r="C56" s="36">
        <v>53864.783499999998</v>
      </c>
      <c r="D56" s="36">
        <v>2.9999999999999997E-4</v>
      </c>
      <c r="E56" s="1">
        <f t="shared" si="7"/>
        <v>23851.989503175057</v>
      </c>
      <c r="F56" s="1">
        <f t="shared" si="8"/>
        <v>23852</v>
      </c>
      <c r="G56" s="1">
        <f t="shared" si="6"/>
        <v>-9.8174505183123983E-3</v>
      </c>
      <c r="K56" s="1">
        <f t="shared" si="11"/>
        <v>-9.8174505183123983E-3</v>
      </c>
      <c r="O56" s="1">
        <f t="shared" ca="1" si="9"/>
        <v>-1.0255999906396057E-2</v>
      </c>
      <c r="Q56" s="75">
        <f t="shared" si="10"/>
        <v>38846.283499999998</v>
      </c>
    </row>
    <row r="57" spans="1:21">
      <c r="A57" s="32" t="s">
        <v>80</v>
      </c>
      <c r="B57" s="33" t="s">
        <v>50</v>
      </c>
      <c r="C57" s="34">
        <v>53867.121099999997</v>
      </c>
      <c r="D57" s="35"/>
      <c r="E57" s="1">
        <f t="shared" si="7"/>
        <v>23854.488866724794</v>
      </c>
      <c r="F57" s="1">
        <f t="shared" si="8"/>
        <v>23854.5</v>
      </c>
      <c r="G57" s="1">
        <f t="shared" si="6"/>
        <v>-1.0412708514195401E-2</v>
      </c>
      <c r="K57" s="1">
        <f t="shared" si="11"/>
        <v>-1.0412708514195401E-2</v>
      </c>
      <c r="O57" s="1">
        <f t="shared" ca="1" si="9"/>
        <v>-1.0265772387272928E-2</v>
      </c>
      <c r="Q57" s="75">
        <f t="shared" si="10"/>
        <v>38848.621099999997</v>
      </c>
    </row>
    <row r="58" spans="1:21">
      <c r="A58" s="36" t="s">
        <v>83</v>
      </c>
      <c r="B58" s="37" t="s">
        <v>81</v>
      </c>
      <c r="C58" s="36">
        <v>54172.487999999998</v>
      </c>
      <c r="D58" s="36">
        <v>5.0000000000000001E-4</v>
      </c>
      <c r="E58" s="1">
        <f t="shared" si="7"/>
        <v>24180.987369102051</v>
      </c>
      <c r="F58" s="1">
        <f t="shared" si="8"/>
        <v>24181</v>
      </c>
      <c r="G58" s="1">
        <f t="shared" si="6"/>
        <v>-1.1813402277766727E-2</v>
      </c>
      <c r="J58" s="1">
        <f>G58</f>
        <v>-1.1813402277766727E-2</v>
      </c>
      <c r="O58" s="1">
        <f t="shared" ca="1" si="9"/>
        <v>-1.1542058389792734E-2</v>
      </c>
      <c r="Q58" s="75">
        <f t="shared" si="10"/>
        <v>39153.987999999998</v>
      </c>
    </row>
    <row r="59" spans="1:21">
      <c r="A59" s="32" t="s">
        <v>84</v>
      </c>
      <c r="B59" s="33" t="s">
        <v>81</v>
      </c>
      <c r="C59" s="34">
        <v>54236.089</v>
      </c>
      <c r="D59" s="35"/>
      <c r="E59" s="1">
        <f t="shared" si="7"/>
        <v>24248.989602643724</v>
      </c>
      <c r="F59" s="1">
        <f t="shared" si="8"/>
        <v>24249</v>
      </c>
      <c r="G59" s="1">
        <f t="shared" si="6"/>
        <v>-9.7244196585961618E-3</v>
      </c>
      <c r="K59" s="1">
        <f>G59</f>
        <v>-9.7244196585961618E-3</v>
      </c>
      <c r="O59" s="1">
        <f t="shared" ca="1" si="9"/>
        <v>-1.1807869869643731E-2</v>
      </c>
      <c r="Q59" s="75">
        <f t="shared" si="10"/>
        <v>39217.589</v>
      </c>
    </row>
    <row r="60" spans="1:21">
      <c r="A60" s="40" t="s">
        <v>76</v>
      </c>
      <c r="B60" s="41" t="s">
        <v>50</v>
      </c>
      <c r="C60" s="40">
        <v>54260.403579999998</v>
      </c>
      <c r="D60" s="40">
        <v>8.9999999999999998E-4</v>
      </c>
      <c r="E60" s="1">
        <f t="shared" si="7"/>
        <v>24274.986768531482</v>
      </c>
      <c r="F60" s="1">
        <f t="shared" si="8"/>
        <v>24275</v>
      </c>
      <c r="G60" s="1">
        <f t="shared" si="6"/>
        <v>-1.2375102771329693E-2</v>
      </c>
      <c r="K60" s="1">
        <f>G60</f>
        <v>-1.2375102771329693E-2</v>
      </c>
      <c r="O60" s="1">
        <f t="shared" ca="1" si="9"/>
        <v>-1.1909503670763225E-2</v>
      </c>
      <c r="Q60" s="75">
        <f t="shared" si="10"/>
        <v>39241.903579999998</v>
      </c>
      <c r="U60" s="12"/>
    </row>
    <row r="61" spans="1:21">
      <c r="A61" s="36" t="s">
        <v>85</v>
      </c>
      <c r="B61" s="37" t="s">
        <v>81</v>
      </c>
      <c r="C61" s="36">
        <v>54583.384299999998</v>
      </c>
      <c r="D61" s="36">
        <v>5.0000000000000001E-4</v>
      </c>
      <c r="E61" s="1">
        <f t="shared" si="7"/>
        <v>24620.317979532829</v>
      </c>
      <c r="F61" s="1">
        <f t="shared" si="8"/>
        <v>24620.5</v>
      </c>
      <c r="O61" s="1">
        <f t="shared" ca="1" si="9"/>
        <v>-1.3260060527947273E-2</v>
      </c>
      <c r="Q61" s="75">
        <f t="shared" si="10"/>
        <v>39564.884299999998</v>
      </c>
      <c r="U61" s="12">
        <v>-0.17023975727352081</v>
      </c>
    </row>
    <row r="62" spans="1:21">
      <c r="A62" s="42" t="s">
        <v>86</v>
      </c>
      <c r="B62" s="45" t="s">
        <v>81</v>
      </c>
      <c r="C62" s="42">
        <v>54923.5075</v>
      </c>
      <c r="D62" s="42">
        <v>1E-4</v>
      </c>
      <c r="E62" s="1">
        <f t="shared" si="7"/>
        <v>24983.977942101661</v>
      </c>
      <c r="F62" s="1">
        <f t="shared" si="8"/>
        <v>24984</v>
      </c>
      <c r="G62" s="1">
        <f t="shared" ref="G62:G78" si="12">+C62-(C$7+F62*C$8)</f>
        <v>-2.0630269318644423E-2</v>
      </c>
      <c r="J62" s="1">
        <f>G62</f>
        <v>-2.0630269318644423E-2</v>
      </c>
      <c r="O62" s="1">
        <f t="shared" ca="1" si="9"/>
        <v>-1.4680979247444839E-2</v>
      </c>
      <c r="Q62" s="75">
        <f t="shared" si="10"/>
        <v>39905.0075</v>
      </c>
    </row>
    <row r="63" spans="1:21">
      <c r="A63" s="32" t="s">
        <v>87</v>
      </c>
      <c r="B63" s="33" t="s">
        <v>81</v>
      </c>
      <c r="C63" s="34">
        <v>55319.126199999999</v>
      </c>
      <c r="D63" s="35"/>
      <c r="E63" s="1">
        <f t="shared" si="7"/>
        <v>25406.973731961123</v>
      </c>
      <c r="F63" s="1">
        <f t="shared" si="8"/>
        <v>25407</v>
      </c>
      <c r="G63" s="1">
        <f t="shared" si="12"/>
        <v>-2.4567921573179774E-2</v>
      </c>
      <c r="K63" s="1">
        <f>G63</f>
        <v>-2.4567921573179774E-2</v>
      </c>
      <c r="O63" s="1">
        <f t="shared" ca="1" si="9"/>
        <v>-1.6334483011812007E-2</v>
      </c>
      <c r="Q63" s="75">
        <f t="shared" si="10"/>
        <v>40300.626199999999</v>
      </c>
    </row>
    <row r="64" spans="1:21">
      <c r="A64" s="42" t="s">
        <v>88</v>
      </c>
      <c r="B64" s="45" t="s">
        <v>50</v>
      </c>
      <c r="C64" s="42">
        <v>55654.895299999996</v>
      </c>
      <c r="D64" s="42">
        <v>4.0000000000000002E-4</v>
      </c>
      <c r="E64" s="1">
        <f t="shared" si="7"/>
        <v>25765.978287774335</v>
      </c>
      <c r="F64" s="1">
        <f t="shared" si="8"/>
        <v>25766</v>
      </c>
      <c r="G64" s="1">
        <f t="shared" si="12"/>
        <v>-2.0306969236116856E-2</v>
      </c>
      <c r="K64" s="1">
        <f>G64</f>
        <v>-2.0306969236116856E-2</v>
      </c>
      <c r="O64" s="1">
        <f t="shared" ca="1" si="9"/>
        <v>-1.7737811265731179E-2</v>
      </c>
      <c r="Q64" s="75">
        <f t="shared" si="10"/>
        <v>40636.395299999996</v>
      </c>
    </row>
    <row r="65" spans="1:17">
      <c r="A65" s="46" t="s">
        <v>89</v>
      </c>
      <c r="B65" s="47" t="s">
        <v>81</v>
      </c>
      <c r="C65" s="35">
        <v>55690.434999999998</v>
      </c>
      <c r="D65" s="35">
        <v>1E-4</v>
      </c>
      <c r="E65" s="1">
        <f t="shared" si="7"/>
        <v>25803.977359792087</v>
      </c>
      <c r="F65" s="1">
        <f t="shared" si="8"/>
        <v>25804</v>
      </c>
      <c r="G65" s="1">
        <f t="shared" si="12"/>
        <v>-2.1174890716793016E-2</v>
      </c>
      <c r="J65" s="1">
        <f>G65</f>
        <v>-2.1174890716793016E-2</v>
      </c>
      <c r="O65" s="1">
        <f t="shared" ca="1" si="9"/>
        <v>-1.788635297505968E-2</v>
      </c>
      <c r="Q65" s="75">
        <f t="shared" si="10"/>
        <v>40671.934999999998</v>
      </c>
    </row>
    <row r="66" spans="1:17">
      <c r="A66" s="32" t="s">
        <v>90</v>
      </c>
      <c r="B66" s="33" t="s">
        <v>50</v>
      </c>
      <c r="C66" s="34">
        <v>55703.056900000003</v>
      </c>
      <c r="D66" s="35"/>
      <c r="E66" s="1">
        <f t="shared" si="7"/>
        <v>25817.472704071894</v>
      </c>
      <c r="F66" s="1">
        <f t="shared" si="8"/>
        <v>25817.5</v>
      </c>
      <c r="G66" s="1">
        <f t="shared" si="12"/>
        <v>-2.5529283862852026E-2</v>
      </c>
      <c r="K66" s="1">
        <f>G66</f>
        <v>-2.5529283862852026E-2</v>
      </c>
      <c r="O66" s="1">
        <f t="shared" ca="1" si="9"/>
        <v>-1.7939124371794804E-2</v>
      </c>
      <c r="Q66" s="75">
        <f t="shared" si="10"/>
        <v>40684.556900000003</v>
      </c>
    </row>
    <row r="67" spans="1:17">
      <c r="A67" s="36" t="s">
        <v>91</v>
      </c>
      <c r="B67" s="37" t="s">
        <v>50</v>
      </c>
      <c r="C67" s="36">
        <v>56030.878299999997</v>
      </c>
      <c r="D67" s="36">
        <v>2.9999999999999997E-4</v>
      </c>
      <c r="E67" s="1">
        <f t="shared" si="7"/>
        <v>26167.979573504083</v>
      </c>
      <c r="F67" s="1">
        <f t="shared" si="8"/>
        <v>26168</v>
      </c>
      <c r="G67" s="1">
        <f t="shared" si="12"/>
        <v>-1.9104454360785894E-2</v>
      </c>
      <c r="K67" s="1">
        <f>G67</f>
        <v>-1.9104454360785894E-2</v>
      </c>
      <c r="O67" s="1">
        <f t="shared" ca="1" si="9"/>
        <v>-1.9309226190732609E-2</v>
      </c>
      <c r="Q67" s="75">
        <f t="shared" si="10"/>
        <v>41012.378299999997</v>
      </c>
    </row>
    <row r="68" spans="1:17">
      <c r="A68" s="48" t="s">
        <v>92</v>
      </c>
      <c r="B68" s="49" t="s">
        <v>50</v>
      </c>
      <c r="C68" s="50">
        <v>56427.430800000002</v>
      </c>
      <c r="D68" s="51">
        <v>5.0000000000000001E-4</v>
      </c>
      <c r="E68" s="1">
        <f t="shared" si="7"/>
        <v>26591.973782974586</v>
      </c>
      <c r="F68" s="1">
        <f t="shared" si="8"/>
        <v>26592</v>
      </c>
      <c r="G68" s="1">
        <f t="shared" si="12"/>
        <v>-2.4520209801266901E-2</v>
      </c>
      <c r="J68" s="1">
        <f>G68</f>
        <v>-2.4520209801266901E-2</v>
      </c>
      <c r="O68" s="1">
        <f t="shared" ca="1" si="9"/>
        <v>-2.096663894745053E-2</v>
      </c>
      <c r="Q68" s="75">
        <f t="shared" si="10"/>
        <v>41408.930800000002</v>
      </c>
    </row>
    <row r="69" spans="1:17">
      <c r="A69" s="52" t="s">
        <v>93</v>
      </c>
      <c r="B69" s="53" t="s">
        <v>50</v>
      </c>
      <c r="C69" s="52">
        <v>56794.057599999942</v>
      </c>
      <c r="D69" s="52" t="s">
        <v>35</v>
      </c>
      <c r="E69" s="1">
        <f t="shared" si="7"/>
        <v>26983.971413141266</v>
      </c>
      <c r="F69" s="1">
        <f t="shared" si="8"/>
        <v>26984</v>
      </c>
      <c r="G69" s="1">
        <f t="shared" si="12"/>
        <v>-2.6736663014162332E-2</v>
      </c>
      <c r="K69" s="1">
        <f t="shared" ref="K69:K74" si="13">G69</f>
        <v>-2.6736663014162332E-2</v>
      </c>
      <c r="O69" s="1">
        <f t="shared" ca="1" si="9"/>
        <v>-2.2498963948944448E-2</v>
      </c>
      <c r="Q69" s="75">
        <f t="shared" si="10"/>
        <v>41775.557599999942</v>
      </c>
    </row>
    <row r="70" spans="1:17">
      <c r="A70" s="32" t="s">
        <v>94</v>
      </c>
      <c r="B70" s="33" t="s">
        <v>81</v>
      </c>
      <c r="C70" s="34">
        <v>56794.0576</v>
      </c>
      <c r="D70" s="35"/>
      <c r="E70" s="1">
        <f t="shared" si="7"/>
        <v>26983.971413141328</v>
      </c>
      <c r="F70" s="1">
        <f t="shared" si="8"/>
        <v>26984</v>
      </c>
      <c r="G70" s="1">
        <f t="shared" si="12"/>
        <v>-2.6736662955954671E-2</v>
      </c>
      <c r="K70" s="1">
        <f t="shared" si="13"/>
        <v>-2.6736662955954671E-2</v>
      </c>
      <c r="O70" s="1">
        <f t="shared" ca="1" si="9"/>
        <v>-2.2498963948944448E-2</v>
      </c>
      <c r="Q70" s="75">
        <f t="shared" si="10"/>
        <v>41775.5576</v>
      </c>
    </row>
    <row r="71" spans="1:17">
      <c r="A71" s="52" t="s">
        <v>93</v>
      </c>
      <c r="B71" s="53" t="s">
        <v>50</v>
      </c>
      <c r="C71" s="52">
        <v>56794.05849999981</v>
      </c>
      <c r="D71" s="52" t="s">
        <v>41</v>
      </c>
      <c r="E71" s="1">
        <f t="shared" si="7"/>
        <v>26983.972375421752</v>
      </c>
      <c r="F71" s="1">
        <f t="shared" si="8"/>
        <v>26984</v>
      </c>
      <c r="G71" s="1">
        <f t="shared" si="12"/>
        <v>-2.5836663146037608E-2</v>
      </c>
      <c r="K71" s="1">
        <f t="shared" si="13"/>
        <v>-2.5836663146037608E-2</v>
      </c>
      <c r="O71" s="1">
        <f t="shared" ca="1" si="9"/>
        <v>-2.2498963948944448E-2</v>
      </c>
      <c r="Q71" s="75">
        <f t="shared" si="10"/>
        <v>41775.55849999981</v>
      </c>
    </row>
    <row r="72" spans="1:17">
      <c r="A72" s="32" t="s">
        <v>94</v>
      </c>
      <c r="B72" s="33" t="s">
        <v>81</v>
      </c>
      <c r="C72" s="34">
        <v>56794.058499999999</v>
      </c>
      <c r="D72" s="35"/>
      <c r="E72" s="1">
        <f t="shared" si="7"/>
        <v>26983.972375421952</v>
      </c>
      <c r="F72" s="1">
        <f t="shared" si="8"/>
        <v>26984</v>
      </c>
      <c r="G72" s="1">
        <f t="shared" si="12"/>
        <v>-2.583666295686271E-2</v>
      </c>
      <c r="K72" s="1">
        <f t="shared" si="13"/>
        <v>-2.583666295686271E-2</v>
      </c>
      <c r="O72" s="1">
        <f t="shared" ca="1" si="9"/>
        <v>-2.2498963948944448E-2</v>
      </c>
      <c r="Q72" s="75">
        <f t="shared" si="10"/>
        <v>41775.558499999999</v>
      </c>
    </row>
    <row r="73" spans="1:17">
      <c r="A73" s="32" t="s">
        <v>94</v>
      </c>
      <c r="B73" s="33" t="s">
        <v>81</v>
      </c>
      <c r="C73" s="34">
        <v>56794.059200000003</v>
      </c>
      <c r="D73" s="35"/>
      <c r="E73" s="1">
        <f t="shared" si="7"/>
        <v>26983.973123862444</v>
      </c>
      <c r="F73" s="1">
        <f t="shared" si="8"/>
        <v>26984</v>
      </c>
      <c r="G73" s="1">
        <f t="shared" si="12"/>
        <v>-2.5136662952718325E-2</v>
      </c>
      <c r="K73" s="1">
        <f t="shared" si="13"/>
        <v>-2.5136662952718325E-2</v>
      </c>
      <c r="O73" s="1">
        <f t="shared" ca="1" si="9"/>
        <v>-2.2498963948944448E-2</v>
      </c>
      <c r="Q73" s="75">
        <f t="shared" si="10"/>
        <v>41775.559200000003</v>
      </c>
    </row>
    <row r="74" spans="1:17">
      <c r="A74" s="52" t="s">
        <v>93</v>
      </c>
      <c r="B74" s="53" t="s">
        <v>50</v>
      </c>
      <c r="C74" s="52">
        <v>56794.059200000018</v>
      </c>
      <c r="D74" s="52" t="s">
        <v>95</v>
      </c>
      <c r="E74" s="1">
        <f t="shared" si="7"/>
        <v>26983.973123862463</v>
      </c>
      <c r="F74" s="1">
        <f t="shared" si="8"/>
        <v>26984</v>
      </c>
      <c r="G74" s="1">
        <f t="shared" si="12"/>
        <v>-2.513666293816641E-2</v>
      </c>
      <c r="K74" s="1">
        <f t="shared" si="13"/>
        <v>-2.513666293816641E-2</v>
      </c>
      <c r="O74" s="1">
        <f t="shared" ca="1" si="9"/>
        <v>-2.2498963948944448E-2</v>
      </c>
      <c r="Q74" s="75">
        <f t="shared" si="10"/>
        <v>41775.559200000018</v>
      </c>
    </row>
    <row r="75" spans="1:17">
      <c r="A75" s="36" t="s">
        <v>96</v>
      </c>
      <c r="B75" s="37"/>
      <c r="C75" s="36">
        <v>57178.457000000002</v>
      </c>
      <c r="D75" s="36">
        <v>6.9999999999999999E-4</v>
      </c>
      <c r="E75" s="1">
        <f t="shared" si="7"/>
        <v>27394.971519618863</v>
      </c>
      <c r="F75" s="1">
        <f t="shared" si="8"/>
        <v>27395</v>
      </c>
      <c r="G75" s="1">
        <f t="shared" si="12"/>
        <v>-2.6637076844053809E-2</v>
      </c>
      <c r="J75" s="1">
        <f>G75</f>
        <v>-2.6637076844053809E-2</v>
      </c>
      <c r="O75" s="1">
        <f t="shared" ca="1" si="9"/>
        <v>-2.4105559805102622E-2</v>
      </c>
      <c r="Q75" s="75">
        <f t="shared" si="10"/>
        <v>42159.957000000002</v>
      </c>
    </row>
    <row r="76" spans="1:17">
      <c r="A76" s="54" t="s">
        <v>97</v>
      </c>
      <c r="B76" s="55" t="s">
        <v>50</v>
      </c>
      <c r="C76" s="56">
        <v>57480.551729999999</v>
      </c>
      <c r="D76" s="56">
        <v>1E-4</v>
      </c>
      <c r="E76" s="1">
        <f t="shared" si="7"/>
        <v>27717.971415550808</v>
      </c>
      <c r="F76" s="1">
        <f t="shared" si="8"/>
        <v>27718</v>
      </c>
      <c r="G76" s="1">
        <f t="shared" si="12"/>
        <v>-2.6734409424534533E-2</v>
      </c>
      <c r="K76" s="1">
        <f t="shared" ref="K76:K83" si="14">G76</f>
        <v>-2.6734409424534533E-2</v>
      </c>
      <c r="O76" s="1">
        <f t="shared" ca="1" si="9"/>
        <v>-2.5368164334394802E-2</v>
      </c>
      <c r="Q76" s="75">
        <f t="shared" si="10"/>
        <v>42462.051729999999</v>
      </c>
    </row>
    <row r="77" spans="1:17">
      <c r="A77" s="54" t="s">
        <v>97</v>
      </c>
      <c r="B77" s="55" t="s">
        <v>81</v>
      </c>
      <c r="C77" s="56">
        <v>57518.431570000001</v>
      </c>
      <c r="D77" s="56">
        <v>4.0000000000000002E-4</v>
      </c>
      <c r="E77" s="1">
        <f t="shared" si="7"/>
        <v>27758.472566888067</v>
      </c>
      <c r="F77" s="1">
        <f t="shared" si="8"/>
        <v>27758.5</v>
      </c>
      <c r="G77" s="1">
        <f t="shared" si="12"/>
        <v>-2.5657588892499916E-2</v>
      </c>
      <c r="K77" s="1">
        <f t="shared" si="14"/>
        <v>-2.5657588892499916E-2</v>
      </c>
      <c r="O77" s="1">
        <f t="shared" ca="1" si="9"/>
        <v>-2.5526478524600174E-2</v>
      </c>
      <c r="Q77" s="75">
        <f t="shared" si="10"/>
        <v>42499.931570000001</v>
      </c>
    </row>
    <row r="78" spans="1:17">
      <c r="A78" s="52" t="s">
        <v>98</v>
      </c>
      <c r="B78" s="57" t="s">
        <v>50</v>
      </c>
      <c r="C78" s="58">
        <v>57887.399299999997</v>
      </c>
      <c r="D78" s="58">
        <v>8.0000000000000004E-4</v>
      </c>
      <c r="E78" s="1">
        <f t="shared" si="7"/>
        <v>28152.973121042869</v>
      </c>
      <c r="F78" s="1">
        <f t="shared" si="8"/>
        <v>28153</v>
      </c>
      <c r="G78" s="1">
        <f t="shared" si="12"/>
        <v>-2.5139300043520052E-2</v>
      </c>
      <c r="K78" s="1">
        <f t="shared" si="14"/>
        <v>-2.5139300043520052E-2</v>
      </c>
      <c r="O78" s="1">
        <f t="shared" ca="1" si="9"/>
        <v>-2.7068576006970976E-2</v>
      </c>
      <c r="Q78" s="75">
        <f t="shared" si="10"/>
        <v>42868.899299999997</v>
      </c>
    </row>
    <row r="79" spans="1:17">
      <c r="A79" s="59" t="s">
        <v>99</v>
      </c>
      <c r="B79" s="60" t="s">
        <v>50</v>
      </c>
      <c r="C79" s="61">
        <v>58930.228999999999</v>
      </c>
      <c r="D79" s="61" t="s">
        <v>95</v>
      </c>
      <c r="E79" s="1">
        <f>+(C79-C$7)/C$8</f>
        <v>29267.967363328204</v>
      </c>
      <c r="F79" s="1">
        <f t="shared" si="8"/>
        <v>29268</v>
      </c>
      <c r="G79" s="1">
        <f>+C79-(C$7+F79*C$8)</f>
        <v>-3.0524364490702283E-2</v>
      </c>
      <c r="K79" s="1">
        <f t="shared" si="14"/>
        <v>-3.0524364490702283E-2</v>
      </c>
      <c r="O79" s="1">
        <f ca="1">+C$11+C$12*F79</f>
        <v>-3.1427102478057009E-2</v>
      </c>
      <c r="Q79" s="75">
        <f>+C79-15018.5</f>
        <v>43911.728999999999</v>
      </c>
    </row>
    <row r="80" spans="1:17" ht="12" customHeight="1">
      <c r="A80" s="59" t="s">
        <v>99</v>
      </c>
      <c r="B80" s="60" t="s">
        <v>50</v>
      </c>
      <c r="C80" s="61">
        <v>58930.231</v>
      </c>
      <c r="D80" s="61" t="s">
        <v>35</v>
      </c>
      <c r="E80" s="1">
        <f>+(C80-C$7)/C$8</f>
        <v>29267.9695017296</v>
      </c>
      <c r="F80" s="1">
        <f t="shared" si="8"/>
        <v>29268</v>
      </c>
      <c r="G80" s="1">
        <f>+C80-(C$7+F80*C$8)</f>
        <v>-2.8524364490294829E-2</v>
      </c>
      <c r="K80" s="1">
        <f t="shared" si="14"/>
        <v>-2.8524364490294829E-2</v>
      </c>
      <c r="O80" s="1">
        <f ca="1">+C$11+C$12*F80</f>
        <v>-3.1427102478057009E-2</v>
      </c>
      <c r="Q80" s="75">
        <f>+C80-15018.5</f>
        <v>43911.731</v>
      </c>
    </row>
    <row r="81" spans="1:17" ht="12" customHeight="1">
      <c r="A81" s="59" t="s">
        <v>99</v>
      </c>
      <c r="B81" s="60" t="s">
        <v>81</v>
      </c>
      <c r="C81" s="61">
        <v>58983.067000000003</v>
      </c>
      <c r="D81" s="61" t="s">
        <v>41</v>
      </c>
      <c r="E81" s="1">
        <f>+(C81-C$7)/C$8</f>
        <v>29324.461789766076</v>
      </c>
      <c r="F81" s="1">
        <f t="shared" si="8"/>
        <v>29324.5</v>
      </c>
      <c r="G81" s="1">
        <f>+C81-(C$7+F81*C$8)</f>
        <v>-3.573719510313822E-2</v>
      </c>
      <c r="K81" s="1">
        <f t="shared" si="14"/>
        <v>-3.573719510313822E-2</v>
      </c>
      <c r="O81" s="1">
        <f ca="1">+C$11+C$12*F81</f>
        <v>-3.1647960545874376E-2</v>
      </c>
      <c r="Q81" s="75">
        <f>+C81-15018.5</f>
        <v>43964.567000000003</v>
      </c>
    </row>
    <row r="82" spans="1:17" ht="12" customHeight="1">
      <c r="A82" s="59" t="s">
        <v>99</v>
      </c>
      <c r="B82" s="60" t="s">
        <v>81</v>
      </c>
      <c r="C82" s="61">
        <v>58983.069499999998</v>
      </c>
      <c r="D82" s="61" t="s">
        <v>95</v>
      </c>
      <c r="E82" s="1">
        <f>+(C82-C$7)/C$8</f>
        <v>29324.464462767814</v>
      </c>
      <c r="F82" s="1">
        <f t="shared" si="8"/>
        <v>29324.5</v>
      </c>
      <c r="G82" s="1">
        <f>+C82-(C$7+F82*C$8)</f>
        <v>-3.3237195108085871E-2</v>
      </c>
      <c r="K82" s="1">
        <f t="shared" si="14"/>
        <v>-3.3237195108085871E-2</v>
      </c>
      <c r="O82" s="1">
        <f ca="1">+C$11+C$12*F82</f>
        <v>-3.1647960545874376E-2</v>
      </c>
      <c r="Q82" s="75">
        <f>+C82-15018.5</f>
        <v>43964.569499999998</v>
      </c>
    </row>
    <row r="83" spans="1:17" ht="12" customHeight="1">
      <c r="A83" s="59" t="s">
        <v>99</v>
      </c>
      <c r="B83" s="60" t="s">
        <v>81</v>
      </c>
      <c r="C83" s="61">
        <v>58984.010999999999</v>
      </c>
      <c r="D83" s="61" t="s">
        <v>95</v>
      </c>
      <c r="E83" s="1">
        <f>+(C83-C$7)/C$8</f>
        <v>29325.471115224213</v>
      </c>
      <c r="F83" s="1">
        <f t="shared" si="8"/>
        <v>29325.5</v>
      </c>
      <c r="G83" s="1">
        <f>+C83-(C$7+F83*C$8)</f>
        <v>-2.7015298313926905E-2</v>
      </c>
      <c r="K83" s="1">
        <f t="shared" si="14"/>
        <v>-2.7015298313926905E-2</v>
      </c>
      <c r="O83" s="1">
        <f ca="1">+C$11+C$12*F83</f>
        <v>-3.1651869538225116E-2</v>
      </c>
      <c r="Q83" s="75">
        <f>+C83-15018.5</f>
        <v>43965.510999999999</v>
      </c>
    </row>
    <row r="84" spans="1:17" ht="12" customHeight="1">
      <c r="A84" s="76" t="s">
        <v>290</v>
      </c>
      <c r="B84" s="77" t="s">
        <v>50</v>
      </c>
      <c r="C84" s="78">
        <v>59262.25130000012</v>
      </c>
      <c r="D84" s="76" t="s">
        <v>35</v>
      </c>
      <c r="E84" s="1">
        <f t="shared" ref="E84:E88" si="15">+(C84-C$7)/C$8</f>
        <v>29622.965837969336</v>
      </c>
      <c r="F84" s="1">
        <f t="shared" ref="F84:F88" si="16">ROUND(2*E84,0)/2</f>
        <v>29623</v>
      </c>
      <c r="G84" s="1">
        <f t="shared" ref="G84:G88" si="17">+C84-(C$7+F84*C$8)</f>
        <v>-3.1950999240507372E-2</v>
      </c>
      <c r="K84" s="1">
        <f t="shared" ref="K84:K88" si="18">G84</f>
        <v>-3.1950999240507372E-2</v>
      </c>
      <c r="O84" s="1">
        <f t="shared" ref="O84:O88" ca="1" si="19">+C$11+C$12*F84</f>
        <v>-3.2814794762573193E-2</v>
      </c>
      <c r="Q84" s="75">
        <f t="shared" ref="Q84:Q88" si="20">+C84-15018.5</f>
        <v>44243.75130000012</v>
      </c>
    </row>
    <row r="85" spans="1:17" ht="12" customHeight="1">
      <c r="A85" s="76" t="s">
        <v>290</v>
      </c>
      <c r="B85" s="77" t="s">
        <v>50</v>
      </c>
      <c r="C85" s="78">
        <v>59262.252400000114</v>
      </c>
      <c r="D85" s="76" t="s">
        <v>95</v>
      </c>
      <c r="E85" s="1">
        <f t="shared" si="15"/>
        <v>29622.967014090096</v>
      </c>
      <c r="F85" s="1">
        <f t="shared" si="16"/>
        <v>29623</v>
      </c>
      <c r="G85" s="1">
        <f t="shared" si="17"/>
        <v>-3.0850999246467836E-2</v>
      </c>
      <c r="K85" s="1">
        <f t="shared" si="18"/>
        <v>-3.0850999246467836E-2</v>
      </c>
      <c r="O85" s="1">
        <f t="shared" ca="1" si="19"/>
        <v>-3.2814794762573193E-2</v>
      </c>
      <c r="Q85" s="75">
        <f t="shared" si="20"/>
        <v>44243.752400000114</v>
      </c>
    </row>
    <row r="86" spans="1:17" ht="12" customHeight="1">
      <c r="A86" s="76" t="s">
        <v>290</v>
      </c>
      <c r="B86" s="77" t="s">
        <v>50</v>
      </c>
      <c r="C86" s="78">
        <v>59262.253000000026</v>
      </c>
      <c r="D86" s="76" t="s">
        <v>41</v>
      </c>
      <c r="E86" s="1">
        <f t="shared" si="15"/>
        <v>29622.96765561042</v>
      </c>
      <c r="F86" s="1">
        <f t="shared" si="16"/>
        <v>29623</v>
      </c>
      <c r="G86" s="1">
        <f t="shared" si="17"/>
        <v>-3.0250999334384687E-2</v>
      </c>
      <c r="K86" s="1">
        <f t="shared" si="18"/>
        <v>-3.0250999334384687E-2</v>
      </c>
      <c r="O86" s="1">
        <f t="shared" ca="1" si="19"/>
        <v>-3.2814794762573193E-2</v>
      </c>
      <c r="Q86" s="75">
        <f t="shared" si="20"/>
        <v>44243.753000000026</v>
      </c>
    </row>
    <row r="87" spans="1:17" ht="12" customHeight="1">
      <c r="A87" s="76" t="s">
        <v>290</v>
      </c>
      <c r="B87" s="77" t="s">
        <v>50</v>
      </c>
      <c r="C87" s="78">
        <v>59284.237399999984</v>
      </c>
      <c r="D87" s="76" t="s">
        <v>95</v>
      </c>
      <c r="E87" s="1">
        <f t="shared" si="15"/>
        <v>29646.47339141757</v>
      </c>
      <c r="F87" s="1">
        <f t="shared" si="16"/>
        <v>29646.5</v>
      </c>
      <c r="G87" s="1">
        <f t="shared" si="17"/>
        <v>-2.4886424507712945E-2</v>
      </c>
      <c r="K87" s="1">
        <f t="shared" si="18"/>
        <v>-2.4886424507712945E-2</v>
      </c>
      <c r="O87" s="1">
        <f t="shared" ca="1" si="19"/>
        <v>-3.2906656082815802E-2</v>
      </c>
      <c r="Q87" s="75">
        <f t="shared" si="20"/>
        <v>44265.737399999984</v>
      </c>
    </row>
    <row r="88" spans="1:17" ht="12" customHeight="1">
      <c r="A88" s="76" t="s">
        <v>291</v>
      </c>
      <c r="B88" s="77" t="s">
        <v>50</v>
      </c>
      <c r="C88" s="78">
        <v>59708.386100000003</v>
      </c>
      <c r="D88" s="76">
        <v>4.0000000000000002E-4</v>
      </c>
      <c r="E88" s="1">
        <f t="shared" si="15"/>
        <v>30099.973477167747</v>
      </c>
      <c r="F88" s="1">
        <f t="shared" si="16"/>
        <v>30100</v>
      </c>
      <c r="G88" s="1">
        <f t="shared" si="17"/>
        <v>-2.4806224239000585E-2</v>
      </c>
      <c r="K88" s="1">
        <f t="shared" si="18"/>
        <v>-2.4806224239000585E-2</v>
      </c>
      <c r="O88" s="1">
        <f t="shared" ca="1" si="19"/>
        <v>-3.4679384113880843E-2</v>
      </c>
      <c r="Q88" s="75">
        <f t="shared" si="20"/>
        <v>44689.886100000003</v>
      </c>
    </row>
    <row r="89" spans="1:17" ht="12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A31" sqref="A3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31556.54</v>
      </c>
      <c r="D4" s="5">
        <v>0.93528999999999995</v>
      </c>
    </row>
    <row r="6" spans="1:4">
      <c r="A6" s="3" t="s">
        <v>3</v>
      </c>
    </row>
    <row r="7" spans="1:4">
      <c r="A7" s="1" t="s">
        <v>4</v>
      </c>
      <c r="C7" s="1">
        <f>+C4</f>
        <v>31556.54</v>
      </c>
    </row>
    <row r="8" spans="1:4">
      <c r="A8" s="1" t="s">
        <v>5</v>
      </c>
      <c r="C8" s="1">
        <f>+D4</f>
        <v>0.93528999999999995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2.2716687792962154E-3</v>
      </c>
      <c r="D11" s="7"/>
    </row>
    <row r="12" spans="1:4">
      <c r="A12" s="1" t="s">
        <v>9</v>
      </c>
      <c r="C12" s="1">
        <f>SLOPE(G21:G93,F21:F93)</f>
        <v>-1.2034092336507837E-5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53068.867400000003</v>
      </c>
    </row>
    <row r="16" spans="1:4">
      <c r="A16" s="3" t="s">
        <v>14</v>
      </c>
      <c r="C16" s="1">
        <f>+C8+C12</f>
        <v>0.93527796590766343</v>
      </c>
    </row>
    <row r="18" spans="1:33">
      <c r="A18" s="3" t="s">
        <v>15</v>
      </c>
      <c r="C18" s="4">
        <f>+C15</f>
        <v>53068.867400000003</v>
      </c>
      <c r="D18" s="5">
        <f>+C16</f>
        <v>0.93527796590766343</v>
      </c>
    </row>
    <row r="19" spans="1:33">
      <c r="C19" s="1">
        <f>COUNT(C21:C1079)</f>
        <v>11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31556.54</v>
      </c>
      <c r="D21" s="7" t="s">
        <v>11</v>
      </c>
      <c r="E21" s="1">
        <f t="shared" ref="E21:E29" si="0">+(C21-C$7)/C$8</f>
        <v>0</v>
      </c>
      <c r="F21" s="1">
        <f t="shared" ref="F21:F26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+C$11+C$12*F21</f>
        <v>2.2716687792962154E-3</v>
      </c>
      <c r="Q21" s="10">
        <f t="shared" ref="Q21:Q29" si="4">+C21-15018.5</f>
        <v>16538.04</v>
      </c>
    </row>
    <row r="22" spans="1:33">
      <c r="A22" s="1" t="s">
        <v>33</v>
      </c>
      <c r="C22" s="11">
        <v>46904.45</v>
      </c>
      <c r="D22" s="7"/>
      <c r="E22" s="1">
        <f t="shared" si="0"/>
        <v>16409.787338686394</v>
      </c>
      <c r="F22" s="1">
        <f t="shared" si="1"/>
        <v>16410</v>
      </c>
      <c r="G22" s="1">
        <f t="shared" si="2"/>
        <v>-0.19890000000305008</v>
      </c>
      <c r="J22" s="1">
        <f>G22</f>
        <v>-0.19890000000305008</v>
      </c>
      <c r="O22" s="1">
        <f t="shared" si="3"/>
        <v>-0.19520778646279738</v>
      </c>
      <c r="Q22" s="10">
        <f t="shared" si="4"/>
        <v>31885.949999999997</v>
      </c>
      <c r="AC22" s="1">
        <v>14</v>
      </c>
      <c r="AE22" s="1" t="s">
        <v>34</v>
      </c>
      <c r="AG22" s="1" t="s">
        <v>35</v>
      </c>
    </row>
    <row r="23" spans="1:33">
      <c r="A23" s="1" t="s">
        <v>36</v>
      </c>
      <c r="C23" s="11">
        <v>48679.616000000002</v>
      </c>
      <c r="D23" s="1">
        <v>6.0000000000000001E-3</v>
      </c>
      <c r="E23" s="1">
        <f t="shared" si="0"/>
        <v>18307.771921008458</v>
      </c>
      <c r="F23" s="1">
        <f t="shared" si="1"/>
        <v>18308</v>
      </c>
      <c r="G23" s="1">
        <f t="shared" si="2"/>
        <v>-0.21332000000256812</v>
      </c>
      <c r="J23" s="1">
        <f>G23</f>
        <v>-0.21332000000256812</v>
      </c>
      <c r="O23" s="1">
        <f t="shared" si="3"/>
        <v>-0.21804849371748927</v>
      </c>
      <c r="Q23" s="10">
        <f t="shared" si="4"/>
        <v>33661.116000000002</v>
      </c>
      <c r="AA23" s="1" t="s">
        <v>37</v>
      </c>
      <c r="AC23" s="1">
        <v>19</v>
      </c>
      <c r="AE23" s="1" t="s">
        <v>34</v>
      </c>
      <c r="AG23" s="1" t="s">
        <v>35</v>
      </c>
    </row>
    <row r="24" spans="1:33">
      <c r="A24" s="1" t="s">
        <v>38</v>
      </c>
      <c r="C24" s="11">
        <v>49116.388899999998</v>
      </c>
      <c r="E24" s="1">
        <f t="shared" si="0"/>
        <v>18774.763870029616</v>
      </c>
      <c r="F24" s="1">
        <f t="shared" si="1"/>
        <v>18775</v>
      </c>
      <c r="G24" s="1">
        <f t="shared" si="2"/>
        <v>-0.2208500000051572</v>
      </c>
      <c r="I24" s="1">
        <f>G24</f>
        <v>-0.2208500000051572</v>
      </c>
      <c r="O24" s="1">
        <f t="shared" si="3"/>
        <v>-0.22366841483863842</v>
      </c>
      <c r="Q24" s="10">
        <f t="shared" si="4"/>
        <v>34097.888899999998</v>
      </c>
      <c r="AA24" s="1" t="s">
        <v>39</v>
      </c>
      <c r="AB24" s="1" t="s">
        <v>35</v>
      </c>
      <c r="AG24" s="1" t="s">
        <v>40</v>
      </c>
    </row>
    <row r="25" spans="1:33">
      <c r="A25" s="1" t="s">
        <v>38</v>
      </c>
      <c r="C25" s="11">
        <v>49116.390099999997</v>
      </c>
      <c r="E25" s="1">
        <f t="shared" si="0"/>
        <v>18774.76515305413</v>
      </c>
      <c r="F25" s="1">
        <f t="shared" si="1"/>
        <v>18775</v>
      </c>
      <c r="G25" s="1">
        <f t="shared" si="2"/>
        <v>-0.21965000000636792</v>
      </c>
      <c r="I25" s="1">
        <f>G25</f>
        <v>-0.21965000000636792</v>
      </c>
      <c r="O25" s="1">
        <f t="shared" si="3"/>
        <v>-0.22366841483863842</v>
      </c>
      <c r="Q25" s="10">
        <f t="shared" si="4"/>
        <v>34097.890099999997</v>
      </c>
      <c r="AA25" s="1" t="s">
        <v>39</v>
      </c>
      <c r="AB25" s="1" t="s">
        <v>41</v>
      </c>
      <c r="AG25" s="1" t="s">
        <v>40</v>
      </c>
    </row>
    <row r="26" spans="1:33">
      <c r="A26" s="1" t="s">
        <v>42</v>
      </c>
      <c r="C26" s="11">
        <v>49475.534</v>
      </c>
      <c r="E26" s="1">
        <f t="shared" si="0"/>
        <v>19158.757176918389</v>
      </c>
      <c r="F26" s="1">
        <f t="shared" si="1"/>
        <v>19159</v>
      </c>
      <c r="G26" s="1">
        <f t="shared" si="2"/>
        <v>-0.22710999999981141</v>
      </c>
      <c r="J26" s="1">
        <f>G26</f>
        <v>-0.22710999999981141</v>
      </c>
      <c r="O26" s="1">
        <f t="shared" si="3"/>
        <v>-0.22828950629585743</v>
      </c>
      <c r="Q26" s="10">
        <f t="shared" si="4"/>
        <v>34457.034</v>
      </c>
      <c r="AA26" s="1" t="s">
        <v>37</v>
      </c>
      <c r="AC26" s="1">
        <v>58</v>
      </c>
      <c r="AE26" s="1" t="s">
        <v>34</v>
      </c>
      <c r="AG26" s="1" t="s">
        <v>35</v>
      </c>
    </row>
    <row r="27" spans="1:33">
      <c r="A27" s="1" t="s">
        <v>43</v>
      </c>
      <c r="C27" s="11">
        <v>50951.400999999998</v>
      </c>
      <c r="D27" s="1">
        <v>7.0000000000000001E-3</v>
      </c>
      <c r="E27" s="1">
        <f t="shared" si="0"/>
        <v>20736.735130280445</v>
      </c>
      <c r="F27" s="12">
        <f>ROUND(2*E27,0)/2+0.5</f>
        <v>20737</v>
      </c>
      <c r="G27" s="1">
        <f t="shared" si="2"/>
        <v>-0.24773000000277534</v>
      </c>
      <c r="J27" s="1">
        <f>G27</f>
        <v>-0.24773000000277534</v>
      </c>
      <c r="O27" s="1">
        <f t="shared" si="3"/>
        <v>-0.2472793040028668</v>
      </c>
      <c r="Q27" s="10">
        <f t="shared" si="4"/>
        <v>35932.900999999998</v>
      </c>
      <c r="AA27" s="1" t="s">
        <v>44</v>
      </c>
      <c r="AC27" s="1">
        <v>20</v>
      </c>
      <c r="AE27" s="1" t="s">
        <v>45</v>
      </c>
      <c r="AG27" s="1" t="s">
        <v>40</v>
      </c>
    </row>
    <row r="28" spans="1:33">
      <c r="A28" s="1" t="s">
        <v>46</v>
      </c>
      <c r="C28" s="11">
        <v>50951.408100000001</v>
      </c>
      <c r="D28" s="1">
        <v>4.0000000000000002E-4</v>
      </c>
      <c r="E28" s="1">
        <f t="shared" si="0"/>
        <v>20736.742721508839</v>
      </c>
      <c r="F28" s="12">
        <f>ROUND(2*E28,0)/2+0.5</f>
        <v>20737</v>
      </c>
      <c r="G28" s="1">
        <f t="shared" si="2"/>
        <v>-0.24063000000023749</v>
      </c>
      <c r="J28" s="1">
        <f>G28</f>
        <v>-0.24063000000023749</v>
      </c>
      <c r="O28" s="1">
        <f t="shared" si="3"/>
        <v>-0.2472793040028668</v>
      </c>
      <c r="Q28" s="10">
        <f t="shared" si="4"/>
        <v>35932.908100000001</v>
      </c>
      <c r="AA28" s="1" t="s">
        <v>44</v>
      </c>
      <c r="AC28" s="1">
        <v>17</v>
      </c>
      <c r="AE28" s="1" t="s">
        <v>47</v>
      </c>
      <c r="AG28" s="1" t="s">
        <v>35</v>
      </c>
    </row>
    <row r="29" spans="1:33">
      <c r="A29" s="1" t="s">
        <v>48</v>
      </c>
      <c r="C29" s="13">
        <v>52409.499000000003</v>
      </c>
      <c r="D29" s="13"/>
      <c r="E29" s="1">
        <f t="shared" si="0"/>
        <v>22295.714698115025</v>
      </c>
      <c r="F29" s="12">
        <f>ROUND(2*E29,0)/2+0.5</f>
        <v>22296</v>
      </c>
      <c r="G29" s="1">
        <f t="shared" si="2"/>
        <v>-0.26683999999659136</v>
      </c>
      <c r="K29" s="1">
        <f>G29</f>
        <v>-0.26683999999659136</v>
      </c>
      <c r="O29" s="1">
        <f t="shared" si="3"/>
        <v>-0.26604045395548248</v>
      </c>
      <c r="Q29" s="10">
        <f t="shared" si="4"/>
        <v>37390.999000000003</v>
      </c>
    </row>
    <row r="30" spans="1:33">
      <c r="A30" s="14" t="s">
        <v>49</v>
      </c>
      <c r="B30" s="15" t="s">
        <v>50</v>
      </c>
      <c r="C30" s="8">
        <v>53068.867400000003</v>
      </c>
      <c r="D30" s="16">
        <v>2.0000000000000001E-4</v>
      </c>
      <c r="E30" s="1">
        <f>+(C30-C$7)/C$8</f>
        <v>23000.702883597605</v>
      </c>
      <c r="F30" s="12">
        <f>ROUND(2*E30,0)/2+0.5</f>
        <v>23001</v>
      </c>
      <c r="G30" s="1">
        <f>+C30-(C$7+F30*C$8)</f>
        <v>-0.27788999999756925</v>
      </c>
      <c r="K30" s="1">
        <f>G30</f>
        <v>-0.27788999999756925</v>
      </c>
      <c r="O30" s="1">
        <f>+C$11+C$12*F30</f>
        <v>-0.27452448905272053</v>
      </c>
      <c r="Q30" s="10">
        <f>+C30-15018.5</f>
        <v>38050.367400000003</v>
      </c>
    </row>
    <row r="31" spans="1:33">
      <c r="A31" s="3" t="s">
        <v>51</v>
      </c>
      <c r="C31" s="1">
        <v>53864.783499999998</v>
      </c>
      <c r="D31" s="7">
        <v>2.9999999999999997E-4</v>
      </c>
      <c r="E31" s="1">
        <f>+(C31-C$7)/C$8</f>
        <v>23851.686108052047</v>
      </c>
      <c r="F31" s="12">
        <f>ROUND(2*E31,0)/2+0.5</f>
        <v>23852</v>
      </c>
      <c r="G31" s="1">
        <f>+C31-(C$7+F31*C$8)</f>
        <v>-0.29358000000502216</v>
      </c>
      <c r="L31" s="1">
        <f>G31</f>
        <v>-0.29358000000502216</v>
      </c>
      <c r="O31" s="1">
        <f>+C$11+C$12*F31</f>
        <v>-0.28476550163108871</v>
      </c>
      <c r="Q31" s="10">
        <f>+C31-15018.5</f>
        <v>38846.283499999998</v>
      </c>
    </row>
  </sheetData>
  <sheetProtection sheet="1" objects="1" scenarios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31556.54</v>
      </c>
      <c r="D4" s="5">
        <v>0.93528999999999995</v>
      </c>
    </row>
    <row r="6" spans="1:4">
      <c r="A6" s="3" t="s">
        <v>3</v>
      </c>
    </row>
    <row r="7" spans="1:4">
      <c r="A7" s="1" t="s">
        <v>4</v>
      </c>
      <c r="C7" s="1">
        <f>+C4</f>
        <v>31556.54</v>
      </c>
    </row>
    <row r="8" spans="1:4">
      <c r="A8" s="1" t="s">
        <v>5</v>
      </c>
      <c r="C8" s="1">
        <v>0.9352781031968187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2.2716687788135771E-3</v>
      </c>
      <c r="D11" s="7"/>
    </row>
    <row r="12" spans="1:4">
      <c r="A12" s="1" t="s">
        <v>9</v>
      </c>
      <c r="C12" s="1">
        <f>SLOPE(G21:G93,F21:F93)</f>
        <v>-1.3728915510204832E-7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1">
        <v>53864.783499999998</v>
      </c>
    </row>
    <row r="16" spans="1:4">
      <c r="A16" s="3" t="s">
        <v>14</v>
      </c>
      <c r="C16" s="1">
        <f>+C8+C12</f>
        <v>0.93527796590766354</v>
      </c>
    </row>
    <row r="18" spans="1:33">
      <c r="A18" s="3" t="s">
        <v>15</v>
      </c>
      <c r="C18" s="4">
        <f>+C15</f>
        <v>53864.783499999998</v>
      </c>
      <c r="D18" s="5">
        <f>+C16</f>
        <v>0.93527796590766354</v>
      </c>
    </row>
    <row r="19" spans="1:33">
      <c r="C19" s="1">
        <f>COUNT(C21:C1079)</f>
        <v>11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52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31556.54</v>
      </c>
      <c r="D21" s="7" t="s">
        <v>11</v>
      </c>
      <c r="E21" s="1">
        <f t="shared" ref="E21:E30" si="0">+(C21-C$7)/C$8</f>
        <v>0</v>
      </c>
      <c r="F21" s="1">
        <f t="shared" ref="F21:F31" si="1">ROUND(2*E21,0)/2</f>
        <v>0</v>
      </c>
      <c r="G21" s="1">
        <f t="shared" ref="G21:G31" si="2">+C21-(C$7+F21*C$8)</f>
        <v>0</v>
      </c>
      <c r="H21" s="1">
        <f>+G21</f>
        <v>0</v>
      </c>
      <c r="O21" s="1">
        <f t="shared" ref="O21:O31" si="3">+C$11+C$12*F21</f>
        <v>2.2716687788135771E-3</v>
      </c>
      <c r="Q21" s="10">
        <f t="shared" ref="Q21:Q31" si="4">+C21-15018.5</f>
        <v>16538.04</v>
      </c>
    </row>
    <row r="22" spans="1:33">
      <c r="A22" s="1" t="s">
        <v>33</v>
      </c>
      <c r="C22" s="11">
        <v>46904.45</v>
      </c>
      <c r="D22" s="7"/>
      <c r="E22" s="1">
        <f t="shared" si="0"/>
        <v>16409.996072334223</v>
      </c>
      <c r="F22" s="1">
        <f t="shared" si="1"/>
        <v>16410</v>
      </c>
      <c r="G22" s="1">
        <f t="shared" si="2"/>
        <v>-3.67345979611855E-3</v>
      </c>
      <c r="J22" s="1">
        <f>G22</f>
        <v>-3.67345979611855E-3</v>
      </c>
      <c r="O22" s="1">
        <f t="shared" si="3"/>
        <v>1.87537435889641E-5</v>
      </c>
      <c r="Q22" s="10">
        <f t="shared" si="4"/>
        <v>31885.949999999997</v>
      </c>
      <c r="AC22" s="1">
        <v>14</v>
      </c>
      <c r="AE22" s="1" t="s">
        <v>34</v>
      </c>
      <c r="AG22" s="1" t="s">
        <v>35</v>
      </c>
    </row>
    <row r="23" spans="1:33">
      <c r="A23" s="1" t="s">
        <v>36</v>
      </c>
      <c r="C23" s="11">
        <v>48679.616000000002</v>
      </c>
      <c r="D23" s="1">
        <v>6.0000000000000001E-3</v>
      </c>
      <c r="E23" s="1">
        <f t="shared" si="0"/>
        <v>18308.00479715352</v>
      </c>
      <c r="F23" s="1">
        <f t="shared" si="1"/>
        <v>18308</v>
      </c>
      <c r="G23" s="1">
        <f t="shared" si="2"/>
        <v>4.4866726457257755E-3</v>
      </c>
      <c r="J23" s="1">
        <f>G23</f>
        <v>4.4866726457257755E-3</v>
      </c>
      <c r="O23" s="1">
        <f t="shared" si="3"/>
        <v>-2.4182107279472351E-4</v>
      </c>
      <c r="Q23" s="10">
        <f t="shared" si="4"/>
        <v>33661.116000000002</v>
      </c>
      <c r="AA23" s="1" t="s">
        <v>37</v>
      </c>
      <c r="AC23" s="1">
        <v>19</v>
      </c>
      <c r="AE23" s="1" t="s">
        <v>34</v>
      </c>
      <c r="AG23" s="1" t="s">
        <v>35</v>
      </c>
    </row>
    <row r="24" spans="1:33">
      <c r="A24" s="1" t="s">
        <v>38</v>
      </c>
      <c r="C24" s="11">
        <v>49116.388899999998</v>
      </c>
      <c r="E24" s="1">
        <f t="shared" si="0"/>
        <v>18775.002686345077</v>
      </c>
      <c r="F24" s="1">
        <f t="shared" si="1"/>
        <v>18775</v>
      </c>
      <c r="G24" s="1">
        <f t="shared" si="2"/>
        <v>2.5124797248281538E-3</v>
      </c>
      <c r="I24" s="1">
        <f>G24</f>
        <v>2.5124797248281538E-3</v>
      </c>
      <c r="O24" s="1">
        <f t="shared" si="3"/>
        <v>-3.0593510822737998E-4</v>
      </c>
      <c r="Q24" s="10">
        <f t="shared" si="4"/>
        <v>34097.888899999998</v>
      </c>
      <c r="AA24" s="1" t="s">
        <v>39</v>
      </c>
      <c r="AB24" s="1" t="s">
        <v>35</v>
      </c>
      <c r="AG24" s="1" t="s">
        <v>40</v>
      </c>
    </row>
    <row r="25" spans="1:33">
      <c r="A25" s="1" t="s">
        <v>38</v>
      </c>
      <c r="C25" s="11">
        <v>49116.390099999997</v>
      </c>
      <c r="E25" s="1">
        <f t="shared" si="0"/>
        <v>18775.003969385911</v>
      </c>
      <c r="F25" s="1">
        <f t="shared" si="1"/>
        <v>18775</v>
      </c>
      <c r="G25" s="1">
        <f t="shared" si="2"/>
        <v>3.7124797236174345E-3</v>
      </c>
      <c r="I25" s="1">
        <f>G25</f>
        <v>3.7124797236174345E-3</v>
      </c>
      <c r="O25" s="1">
        <f t="shared" si="3"/>
        <v>-3.0593510822737998E-4</v>
      </c>
      <c r="Q25" s="10">
        <f t="shared" si="4"/>
        <v>34097.890099999997</v>
      </c>
      <c r="AA25" s="1" t="s">
        <v>39</v>
      </c>
      <c r="AB25" s="1" t="s">
        <v>41</v>
      </c>
      <c r="AG25" s="1" t="s">
        <v>40</v>
      </c>
    </row>
    <row r="26" spans="1:33">
      <c r="A26" s="1" t="s">
        <v>42</v>
      </c>
      <c r="C26" s="11">
        <v>49475.534</v>
      </c>
      <c r="E26" s="1">
        <f t="shared" si="0"/>
        <v>19159.00087765569</v>
      </c>
      <c r="F26" s="1">
        <f t="shared" si="1"/>
        <v>19159</v>
      </c>
      <c r="G26" s="1">
        <f t="shared" si="2"/>
        <v>8.2085214671678841E-4</v>
      </c>
      <c r="J26" s="1">
        <f>G26</f>
        <v>8.2085214671678841E-4</v>
      </c>
      <c r="O26" s="1">
        <f t="shared" si="3"/>
        <v>-3.5865414378656677E-4</v>
      </c>
      <c r="Q26" s="10">
        <f t="shared" si="4"/>
        <v>34457.034</v>
      </c>
      <c r="AA26" s="1" t="s">
        <v>37</v>
      </c>
      <c r="AC26" s="1">
        <v>58</v>
      </c>
      <c r="AE26" s="1" t="s">
        <v>34</v>
      </c>
      <c r="AG26" s="1" t="s">
        <v>35</v>
      </c>
    </row>
    <row r="27" spans="1:33">
      <c r="A27" s="1" t="s">
        <v>43</v>
      </c>
      <c r="C27" s="11">
        <v>50951.400999999998</v>
      </c>
      <c r="D27" s="1">
        <v>7.0000000000000001E-3</v>
      </c>
      <c r="E27" s="1">
        <f t="shared" si="0"/>
        <v>20736.998903008178</v>
      </c>
      <c r="F27" s="1">
        <f t="shared" si="1"/>
        <v>20737</v>
      </c>
      <c r="G27" s="1">
        <f t="shared" si="2"/>
        <v>-1.0259924310958013E-3</v>
      </c>
      <c r="J27" s="1">
        <f>G27</f>
        <v>-1.0259924310958013E-3</v>
      </c>
      <c r="O27" s="1">
        <f t="shared" si="3"/>
        <v>-5.7529643053759894E-4</v>
      </c>
      <c r="Q27" s="10">
        <f t="shared" si="4"/>
        <v>35932.900999999998</v>
      </c>
      <c r="AA27" s="1" t="s">
        <v>44</v>
      </c>
      <c r="AC27" s="1">
        <v>20</v>
      </c>
      <c r="AE27" s="1" t="s">
        <v>45</v>
      </c>
      <c r="AG27" s="1" t="s">
        <v>40</v>
      </c>
    </row>
    <row r="28" spans="1:33">
      <c r="A28" s="1" t="s">
        <v>46</v>
      </c>
      <c r="C28" s="11">
        <v>50951.408100000001</v>
      </c>
      <c r="D28" s="1">
        <v>4.0000000000000002E-4</v>
      </c>
      <c r="E28" s="1">
        <f t="shared" si="0"/>
        <v>20737.006494333127</v>
      </c>
      <c r="F28" s="1">
        <f t="shared" si="1"/>
        <v>20737</v>
      </c>
      <c r="G28" s="1">
        <f t="shared" si="2"/>
        <v>6.0740075714420527E-3</v>
      </c>
      <c r="J28" s="1">
        <f>G28</f>
        <v>6.0740075714420527E-3</v>
      </c>
      <c r="O28" s="1">
        <f t="shared" si="3"/>
        <v>-5.7529643053759894E-4</v>
      </c>
      <c r="Q28" s="10">
        <f t="shared" si="4"/>
        <v>35932.908100000001</v>
      </c>
      <c r="AA28" s="1" t="s">
        <v>44</v>
      </c>
      <c r="AC28" s="1">
        <v>17</v>
      </c>
      <c r="AE28" s="1" t="s">
        <v>47</v>
      </c>
      <c r="AG28" s="1" t="s">
        <v>35</v>
      </c>
    </row>
    <row r="29" spans="1:33">
      <c r="A29" s="1" t="s">
        <v>48</v>
      </c>
      <c r="C29" s="13">
        <v>52409.499000000003</v>
      </c>
      <c r="D29" s="13"/>
      <c r="E29" s="1">
        <f t="shared" si="0"/>
        <v>22295.998301172389</v>
      </c>
      <c r="F29" s="1">
        <f t="shared" si="1"/>
        <v>22296</v>
      </c>
      <c r="G29" s="1">
        <f t="shared" si="2"/>
        <v>-1.5888762645772658E-3</v>
      </c>
      <c r="K29" s="1">
        <f>G29</f>
        <v>-1.5888762645772658E-3</v>
      </c>
      <c r="O29" s="1">
        <f t="shared" si="3"/>
        <v>-7.8933022334169234E-4</v>
      </c>
      <c r="Q29" s="10">
        <f t="shared" si="4"/>
        <v>37390.999000000003</v>
      </c>
    </row>
    <row r="30" spans="1:33">
      <c r="A30" s="14" t="s">
        <v>49</v>
      </c>
      <c r="B30" s="15" t="s">
        <v>50</v>
      </c>
      <c r="C30" s="8">
        <v>53068.867400000003</v>
      </c>
      <c r="D30" s="16">
        <v>2.0000000000000001E-4</v>
      </c>
      <c r="E30" s="1">
        <f t="shared" si="0"/>
        <v>23000.995454154214</v>
      </c>
      <c r="F30" s="1">
        <f t="shared" si="1"/>
        <v>23001</v>
      </c>
      <c r="G30" s="1">
        <f t="shared" si="2"/>
        <v>-4.2516300236457027E-3</v>
      </c>
      <c r="K30" s="1">
        <f>G30</f>
        <v>-4.2516300236457027E-3</v>
      </c>
      <c r="O30" s="1">
        <f t="shared" si="3"/>
        <v>-8.8611907768863622E-4</v>
      </c>
      <c r="Q30" s="10">
        <f t="shared" si="4"/>
        <v>38050.367400000003</v>
      </c>
    </row>
    <row r="31" spans="1:33">
      <c r="A31" s="3" t="s">
        <v>51</v>
      </c>
      <c r="C31" s="1">
        <v>53864.783499999998</v>
      </c>
      <c r="D31" s="7">
        <v>2.9999999999999997E-4</v>
      </c>
      <c r="E31" s="1">
        <f>+(C31-C$7)/C$8</f>
        <v>23851.989503175057</v>
      </c>
      <c r="F31" s="1">
        <f t="shared" si="1"/>
        <v>23852</v>
      </c>
      <c r="G31" s="1">
        <f t="shared" si="2"/>
        <v>-9.8174505183123983E-3</v>
      </c>
      <c r="L31" s="1">
        <f>G31</f>
        <v>-9.8174505183123983E-3</v>
      </c>
      <c r="O31" s="1">
        <f t="shared" si="3"/>
        <v>-1.0029521486804795E-3</v>
      </c>
      <c r="Q31" s="10">
        <f t="shared" si="4"/>
        <v>38846.283499999998</v>
      </c>
    </row>
  </sheetData>
  <sheetProtection sheet="1" objects="1" scenarios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6" workbookViewId="0">
      <selection activeCell="A30" sqref="A30"/>
    </sheetView>
  </sheetViews>
  <sheetFormatPr defaultRowHeight="12.75"/>
  <cols>
    <col min="1" max="1" width="19.7109375" style="62" customWidth="1"/>
    <col min="2" max="2" width="4.42578125" customWidth="1"/>
    <col min="3" max="3" width="12.7109375" style="62" customWidth="1"/>
    <col min="4" max="4" width="5.42578125" customWidth="1"/>
    <col min="5" max="5" width="14.85546875" customWidth="1"/>
    <col min="7" max="7" width="12" customWidth="1"/>
    <col min="8" max="8" width="14.140625" style="6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3" t="s">
        <v>100</v>
      </c>
      <c r="I1" s="64" t="s">
        <v>101</v>
      </c>
      <c r="J1" s="65" t="s">
        <v>69</v>
      </c>
    </row>
    <row r="2" spans="1:16">
      <c r="I2" s="66" t="s">
        <v>102</v>
      </c>
      <c r="J2" s="67" t="s">
        <v>68</v>
      </c>
    </row>
    <row r="3" spans="1:16">
      <c r="A3" s="68" t="s">
        <v>103</v>
      </c>
      <c r="I3" s="66" t="s">
        <v>104</v>
      </c>
      <c r="J3" s="67" t="s">
        <v>66</v>
      </c>
    </row>
    <row r="4" spans="1:16">
      <c r="I4" s="66" t="s">
        <v>105</v>
      </c>
      <c r="J4" s="67" t="s">
        <v>66</v>
      </c>
    </row>
    <row r="5" spans="1:16">
      <c r="I5" s="69" t="s">
        <v>41</v>
      </c>
      <c r="J5" s="70" t="s">
        <v>67</v>
      </c>
    </row>
    <row r="11" spans="1:16" ht="12.75" customHeight="1">
      <c r="A11" s="62" t="str">
        <f t="shared" ref="A11:A55" si="0">P11</f>
        <v> AAC 4.83 </v>
      </c>
      <c r="B11" s="7" t="str">
        <f t="shared" ref="B11:B55" si="1">IF(H11=INT(H11),"I","II")</f>
        <v>I</v>
      </c>
      <c r="C11" s="62">
        <f t="shared" ref="C11:C55" si="2">1*G11</f>
        <v>31556.54</v>
      </c>
      <c r="D11" t="str">
        <f t="shared" ref="D11:D55" si="3">VLOOKUP(F11,I$1:J$5,2,FALSE)</f>
        <v>vis</v>
      </c>
      <c r="E11">
        <f>VLOOKUP(C11,Active!C$21:E$973,3,FALSE)</f>
        <v>0</v>
      </c>
      <c r="F11" s="7" t="s">
        <v>41</v>
      </c>
      <c r="G11" t="str">
        <f t="shared" ref="G11:G55" si="4">MID(I11,3,LEN(I11)-3)</f>
        <v>31556.54</v>
      </c>
      <c r="H11" s="62">
        <f t="shared" ref="H11:H55" si="5">1*K11</f>
        <v>0</v>
      </c>
      <c r="I11" s="71" t="s">
        <v>106</v>
      </c>
      <c r="J11" s="72" t="s">
        <v>107</v>
      </c>
      <c r="K11" s="71">
        <v>0</v>
      </c>
      <c r="L11" s="71" t="s">
        <v>108</v>
      </c>
      <c r="M11" s="72" t="s">
        <v>109</v>
      </c>
      <c r="N11" s="72"/>
      <c r="O11" s="73" t="s">
        <v>110</v>
      </c>
      <c r="P11" s="73" t="s">
        <v>111</v>
      </c>
    </row>
    <row r="12" spans="1:16" ht="12.75" customHeight="1">
      <c r="A12" s="62" t="str">
        <f t="shared" si="0"/>
        <v> BBS 83 </v>
      </c>
      <c r="B12" s="7" t="str">
        <f t="shared" si="1"/>
        <v>I</v>
      </c>
      <c r="C12" s="62">
        <f t="shared" si="2"/>
        <v>46904.45</v>
      </c>
      <c r="D12" t="str">
        <f t="shared" si="3"/>
        <v>vis</v>
      </c>
      <c r="E12">
        <f>VLOOKUP(C12,Active!C$21:E$973,3,FALSE)</f>
        <v>16409.996072334223</v>
      </c>
      <c r="F12" s="7" t="s">
        <v>41</v>
      </c>
      <c r="G12" t="str">
        <f t="shared" si="4"/>
        <v>46904.45</v>
      </c>
      <c r="H12" s="62">
        <f t="shared" si="5"/>
        <v>16410</v>
      </c>
      <c r="I12" s="71" t="s">
        <v>112</v>
      </c>
      <c r="J12" s="72" t="s">
        <v>113</v>
      </c>
      <c r="K12" s="71">
        <v>16410</v>
      </c>
      <c r="L12" s="71" t="s">
        <v>114</v>
      </c>
      <c r="M12" s="72" t="s">
        <v>109</v>
      </c>
      <c r="N12" s="72"/>
      <c r="O12" s="73" t="s">
        <v>115</v>
      </c>
      <c r="P12" s="73" t="s">
        <v>116</v>
      </c>
    </row>
    <row r="13" spans="1:16" ht="12.75" customHeight="1">
      <c r="A13" s="62" t="str">
        <f t="shared" si="0"/>
        <v> BBS 101 </v>
      </c>
      <c r="B13" s="7" t="str">
        <f t="shared" si="1"/>
        <v>I</v>
      </c>
      <c r="C13" s="62">
        <f t="shared" si="2"/>
        <v>48679.616000000002</v>
      </c>
      <c r="D13" t="str">
        <f t="shared" si="3"/>
        <v>vis</v>
      </c>
      <c r="E13">
        <f>VLOOKUP(C13,Active!C$21:E$973,3,FALSE)</f>
        <v>18308.00479715352</v>
      </c>
      <c r="F13" s="7" t="s">
        <v>41</v>
      </c>
      <c r="G13" t="str">
        <f t="shared" si="4"/>
        <v>48679.616</v>
      </c>
      <c r="H13" s="62">
        <f t="shared" si="5"/>
        <v>18308</v>
      </c>
      <c r="I13" s="71" t="s">
        <v>117</v>
      </c>
      <c r="J13" s="72" t="s">
        <v>118</v>
      </c>
      <c r="K13" s="71">
        <v>18308</v>
      </c>
      <c r="L13" s="71" t="s">
        <v>119</v>
      </c>
      <c r="M13" s="72" t="s">
        <v>120</v>
      </c>
      <c r="N13" s="72" t="s">
        <v>121</v>
      </c>
      <c r="O13" s="73" t="s">
        <v>115</v>
      </c>
      <c r="P13" s="73" t="s">
        <v>122</v>
      </c>
    </row>
    <row r="14" spans="1:16" ht="12.75" customHeight="1">
      <c r="A14" s="62" t="str">
        <f t="shared" si="0"/>
        <v>BAVM 62 </v>
      </c>
      <c r="B14" s="7" t="str">
        <f t="shared" si="1"/>
        <v>I</v>
      </c>
      <c r="C14" s="62">
        <f t="shared" si="2"/>
        <v>49116.388899999998</v>
      </c>
      <c r="D14" t="str">
        <f t="shared" si="3"/>
        <v>vis</v>
      </c>
      <c r="E14">
        <f>VLOOKUP(C14,Active!C$21:E$973,3,FALSE)</f>
        <v>18775.002686345077</v>
      </c>
      <c r="F14" s="7" t="s">
        <v>41</v>
      </c>
      <c r="G14" t="str">
        <f t="shared" si="4"/>
        <v>49116.3889</v>
      </c>
      <c r="H14" s="62">
        <f t="shared" si="5"/>
        <v>18775</v>
      </c>
      <c r="I14" s="71" t="s">
        <v>123</v>
      </c>
      <c r="J14" s="72" t="s">
        <v>124</v>
      </c>
      <c r="K14" s="71">
        <v>18775</v>
      </c>
      <c r="L14" s="71" t="s">
        <v>125</v>
      </c>
      <c r="M14" s="72" t="s">
        <v>120</v>
      </c>
      <c r="N14" s="72" t="s">
        <v>35</v>
      </c>
      <c r="O14" s="73" t="s">
        <v>126</v>
      </c>
      <c r="P14" s="74" t="s">
        <v>127</v>
      </c>
    </row>
    <row r="15" spans="1:16" ht="12.75" customHeight="1">
      <c r="A15" s="62" t="str">
        <f t="shared" si="0"/>
        <v>BAVM 62 </v>
      </c>
      <c r="B15" s="7" t="str">
        <f t="shared" si="1"/>
        <v>I</v>
      </c>
      <c r="C15" s="62">
        <f t="shared" si="2"/>
        <v>49116.390099999997</v>
      </c>
      <c r="D15" t="str">
        <f t="shared" si="3"/>
        <v>vis</v>
      </c>
      <c r="E15">
        <f>VLOOKUP(C15,Active!C$21:E$973,3,FALSE)</f>
        <v>18775.003969385911</v>
      </c>
      <c r="F15" s="7" t="s">
        <v>41</v>
      </c>
      <c r="G15" t="str">
        <f t="shared" si="4"/>
        <v>49116.3901</v>
      </c>
      <c r="H15" s="62">
        <f t="shared" si="5"/>
        <v>18775</v>
      </c>
      <c r="I15" s="71" t="s">
        <v>128</v>
      </c>
      <c r="J15" s="72" t="s">
        <v>129</v>
      </c>
      <c r="K15" s="71">
        <v>18775</v>
      </c>
      <c r="L15" s="71" t="s">
        <v>130</v>
      </c>
      <c r="M15" s="72" t="s">
        <v>120</v>
      </c>
      <c r="N15" s="72" t="s">
        <v>131</v>
      </c>
      <c r="O15" s="73" t="s">
        <v>126</v>
      </c>
      <c r="P15" s="74" t="s">
        <v>127</v>
      </c>
    </row>
    <row r="16" spans="1:16" ht="12.75" customHeight="1">
      <c r="A16" s="62" t="str">
        <f t="shared" si="0"/>
        <v> BBS 106 </v>
      </c>
      <c r="B16" s="7" t="str">
        <f t="shared" si="1"/>
        <v>I</v>
      </c>
      <c r="C16" s="62">
        <f t="shared" si="2"/>
        <v>49475.534</v>
      </c>
      <c r="D16" t="str">
        <f t="shared" si="3"/>
        <v>vis</v>
      </c>
      <c r="E16">
        <f>VLOOKUP(C16,Active!C$21:E$973,3,FALSE)</f>
        <v>19159.00087765569</v>
      </c>
      <c r="F16" s="7" t="s">
        <v>41</v>
      </c>
      <c r="G16" t="str">
        <f t="shared" si="4"/>
        <v>49475.534</v>
      </c>
      <c r="H16" s="62">
        <f t="shared" si="5"/>
        <v>19159</v>
      </c>
      <c r="I16" s="71" t="s">
        <v>132</v>
      </c>
      <c r="J16" s="72" t="s">
        <v>133</v>
      </c>
      <c r="K16" s="71">
        <v>19159</v>
      </c>
      <c r="L16" s="71" t="s">
        <v>134</v>
      </c>
      <c r="M16" s="72" t="s">
        <v>120</v>
      </c>
      <c r="N16" s="72" t="s">
        <v>121</v>
      </c>
      <c r="O16" s="73" t="s">
        <v>115</v>
      </c>
      <c r="P16" s="73" t="s">
        <v>135</v>
      </c>
    </row>
    <row r="17" spans="1:16" ht="12.75" customHeight="1">
      <c r="A17" s="62" t="str">
        <f t="shared" si="0"/>
        <v> BBS 119 </v>
      </c>
      <c r="B17" s="7" t="str">
        <f t="shared" si="1"/>
        <v>I</v>
      </c>
      <c r="C17" s="62">
        <f t="shared" si="2"/>
        <v>50951.400999999998</v>
      </c>
      <c r="D17" t="str">
        <f t="shared" si="3"/>
        <v>vis</v>
      </c>
      <c r="E17">
        <f>VLOOKUP(C17,Active!C$21:E$973,3,FALSE)</f>
        <v>20736.998903008178</v>
      </c>
      <c r="F17" s="7" t="s">
        <v>41</v>
      </c>
      <c r="G17" t="str">
        <f t="shared" si="4"/>
        <v>50951.401</v>
      </c>
      <c r="H17" s="62">
        <f t="shared" si="5"/>
        <v>20737</v>
      </c>
      <c r="I17" s="71" t="s">
        <v>136</v>
      </c>
      <c r="J17" s="72" t="s">
        <v>137</v>
      </c>
      <c r="K17" s="71">
        <v>20737</v>
      </c>
      <c r="L17" s="71" t="s">
        <v>138</v>
      </c>
      <c r="M17" s="72" t="s">
        <v>120</v>
      </c>
      <c r="N17" s="72" t="s">
        <v>121</v>
      </c>
      <c r="O17" s="73" t="s">
        <v>115</v>
      </c>
      <c r="P17" s="73" t="s">
        <v>139</v>
      </c>
    </row>
    <row r="18" spans="1:16" ht="12.75" customHeight="1">
      <c r="A18" s="62" t="str">
        <f t="shared" si="0"/>
        <v> BBS 118 </v>
      </c>
      <c r="B18" s="7" t="str">
        <f t="shared" si="1"/>
        <v>I</v>
      </c>
      <c r="C18" s="62">
        <f t="shared" si="2"/>
        <v>50951.408100000001</v>
      </c>
      <c r="D18" t="str">
        <f t="shared" si="3"/>
        <v>vis</v>
      </c>
      <c r="E18">
        <f>VLOOKUP(C18,Active!C$21:E$973,3,FALSE)</f>
        <v>20737.006494333127</v>
      </c>
      <c r="F18" s="7" t="s">
        <v>41</v>
      </c>
      <c r="G18" t="str">
        <f t="shared" si="4"/>
        <v>50951.4081</v>
      </c>
      <c r="H18" s="62">
        <f t="shared" si="5"/>
        <v>20737</v>
      </c>
      <c r="I18" s="71" t="s">
        <v>140</v>
      </c>
      <c r="J18" s="72" t="s">
        <v>141</v>
      </c>
      <c r="K18" s="71">
        <v>20737</v>
      </c>
      <c r="L18" s="71" t="s">
        <v>142</v>
      </c>
      <c r="M18" s="72" t="s">
        <v>120</v>
      </c>
      <c r="N18" s="72" t="s">
        <v>121</v>
      </c>
      <c r="O18" s="73" t="s">
        <v>143</v>
      </c>
      <c r="P18" s="73" t="s">
        <v>144</v>
      </c>
    </row>
    <row r="19" spans="1:16" ht="12.75" customHeight="1">
      <c r="A19" s="62" t="str">
        <f t="shared" si="0"/>
        <v>OEJV 0074 </v>
      </c>
      <c r="B19" s="7" t="str">
        <f t="shared" si="1"/>
        <v>I</v>
      </c>
      <c r="C19" s="62">
        <f t="shared" si="2"/>
        <v>52321.58322</v>
      </c>
      <c r="D19" t="str">
        <f t="shared" si="3"/>
        <v>vis</v>
      </c>
      <c r="E19">
        <f>VLOOKUP(C19,Active!C$21:E$973,3,FALSE)</f>
        <v>22201.998687902811</v>
      </c>
      <c r="F19" s="7" t="s">
        <v>41</v>
      </c>
      <c r="G19" t="str">
        <f t="shared" si="4"/>
        <v>52321.58322</v>
      </c>
      <c r="H19" s="62">
        <f t="shared" si="5"/>
        <v>22202</v>
      </c>
      <c r="I19" s="71" t="s">
        <v>145</v>
      </c>
      <c r="J19" s="72" t="s">
        <v>146</v>
      </c>
      <c r="K19" s="71">
        <v>22202</v>
      </c>
      <c r="L19" s="71" t="s">
        <v>147</v>
      </c>
      <c r="M19" s="72" t="s">
        <v>148</v>
      </c>
      <c r="N19" s="72" t="s">
        <v>101</v>
      </c>
      <c r="O19" s="73" t="s">
        <v>149</v>
      </c>
      <c r="P19" s="74" t="s">
        <v>150</v>
      </c>
    </row>
    <row r="20" spans="1:16" ht="12.75" customHeight="1">
      <c r="A20" s="62" t="str">
        <f t="shared" si="0"/>
        <v>IBVS 5603 </v>
      </c>
      <c r="B20" s="7" t="str">
        <f t="shared" si="1"/>
        <v>I</v>
      </c>
      <c r="C20" s="62">
        <f t="shared" si="2"/>
        <v>53068.867400000003</v>
      </c>
      <c r="D20" t="str">
        <f t="shared" si="3"/>
        <v>vis</v>
      </c>
      <c r="E20">
        <f>VLOOKUP(C20,Active!C$21:E$973,3,FALSE)</f>
        <v>23000.995454154214</v>
      </c>
      <c r="F20" s="7" t="s">
        <v>41</v>
      </c>
      <c r="G20" t="str">
        <f t="shared" si="4"/>
        <v>53068.8674</v>
      </c>
      <c r="H20" s="62">
        <f t="shared" si="5"/>
        <v>23001</v>
      </c>
      <c r="I20" s="71" t="s">
        <v>151</v>
      </c>
      <c r="J20" s="72" t="s">
        <v>152</v>
      </c>
      <c r="K20" s="71">
        <v>23001</v>
      </c>
      <c r="L20" s="71" t="s">
        <v>153</v>
      </c>
      <c r="M20" s="72" t="s">
        <v>120</v>
      </c>
      <c r="N20" s="72" t="s">
        <v>121</v>
      </c>
      <c r="O20" s="73" t="s">
        <v>154</v>
      </c>
      <c r="P20" s="74" t="s">
        <v>155</v>
      </c>
    </row>
    <row r="21" spans="1:16" ht="12.75" customHeight="1">
      <c r="A21" s="62" t="str">
        <f t="shared" si="0"/>
        <v>OEJV 0074 </v>
      </c>
      <c r="B21" s="7" t="str">
        <f t="shared" si="1"/>
        <v>I</v>
      </c>
      <c r="C21" s="62">
        <f t="shared" si="2"/>
        <v>53148.368289999999</v>
      </c>
      <c r="D21" t="str">
        <f t="shared" si="3"/>
        <v>vis</v>
      </c>
      <c r="E21">
        <f>VLOOKUP(C21,Active!C$21:E$973,3,FALSE)</f>
        <v>23085.997861169046</v>
      </c>
      <c r="F21" s="7" t="s">
        <v>41</v>
      </c>
      <c r="G21" t="str">
        <f t="shared" si="4"/>
        <v>53148.36829</v>
      </c>
      <c r="H21" s="62">
        <f t="shared" si="5"/>
        <v>23086</v>
      </c>
      <c r="I21" s="71" t="s">
        <v>156</v>
      </c>
      <c r="J21" s="72" t="s">
        <v>157</v>
      </c>
      <c r="K21" s="71">
        <v>23086</v>
      </c>
      <c r="L21" s="71" t="s">
        <v>158</v>
      </c>
      <c r="M21" s="72" t="s">
        <v>148</v>
      </c>
      <c r="N21" s="72" t="s">
        <v>101</v>
      </c>
      <c r="O21" s="73" t="s">
        <v>159</v>
      </c>
      <c r="P21" s="74" t="s">
        <v>150</v>
      </c>
    </row>
    <row r="22" spans="1:16" ht="12.75" customHeight="1">
      <c r="A22" s="62" t="str">
        <f t="shared" si="0"/>
        <v>IBVS 5760 </v>
      </c>
      <c r="B22" s="7" t="str">
        <f t="shared" si="1"/>
        <v>II</v>
      </c>
      <c r="C22" s="62">
        <f t="shared" si="2"/>
        <v>53864.783499999998</v>
      </c>
      <c r="D22" t="str">
        <f t="shared" si="3"/>
        <v>vis</v>
      </c>
      <c r="E22">
        <f>VLOOKUP(C22,Active!C$21:E$973,3,FALSE)</f>
        <v>23851.989503175057</v>
      </c>
      <c r="F22" s="7" t="s">
        <v>41</v>
      </c>
      <c r="G22" t="str">
        <f t="shared" si="4"/>
        <v>53864.7835</v>
      </c>
      <c r="H22" s="62">
        <f t="shared" si="5"/>
        <v>23851.5</v>
      </c>
      <c r="I22" s="71" t="s">
        <v>160</v>
      </c>
      <c r="J22" s="72" t="s">
        <v>161</v>
      </c>
      <c r="K22" s="71">
        <v>23851.5</v>
      </c>
      <c r="L22" s="71" t="s">
        <v>162</v>
      </c>
      <c r="M22" s="72" t="s">
        <v>148</v>
      </c>
      <c r="N22" s="72" t="s">
        <v>163</v>
      </c>
      <c r="O22" s="73" t="s">
        <v>164</v>
      </c>
      <c r="P22" s="74" t="s">
        <v>165</v>
      </c>
    </row>
    <row r="23" spans="1:16" ht="12.75" customHeight="1">
      <c r="A23" s="62" t="str">
        <f t="shared" si="0"/>
        <v>BAVM 201 </v>
      </c>
      <c r="B23" s="7" t="str">
        <f t="shared" si="1"/>
        <v>II</v>
      </c>
      <c r="C23" s="62">
        <f t="shared" si="2"/>
        <v>54172.487999999998</v>
      </c>
      <c r="D23" t="str">
        <f t="shared" si="3"/>
        <v>vis</v>
      </c>
      <c r="E23">
        <f>VLOOKUP(C23,Active!C$21:E$973,3,FALSE)</f>
        <v>24180.987369102051</v>
      </c>
      <c r="F23" s="7" t="s">
        <v>41</v>
      </c>
      <c r="G23" t="str">
        <f t="shared" si="4"/>
        <v>54172.4880</v>
      </c>
      <c r="H23" s="62">
        <f t="shared" si="5"/>
        <v>24180.5</v>
      </c>
      <c r="I23" s="71" t="s">
        <v>166</v>
      </c>
      <c r="J23" s="72" t="s">
        <v>167</v>
      </c>
      <c r="K23" s="71">
        <v>24180.5</v>
      </c>
      <c r="L23" s="71" t="s">
        <v>168</v>
      </c>
      <c r="M23" s="72" t="s">
        <v>148</v>
      </c>
      <c r="N23" s="72" t="s">
        <v>169</v>
      </c>
      <c r="O23" s="73" t="s">
        <v>170</v>
      </c>
      <c r="P23" s="74" t="s">
        <v>171</v>
      </c>
    </row>
    <row r="24" spans="1:16" ht="12.75" customHeight="1">
      <c r="A24" s="62" t="str">
        <f t="shared" si="0"/>
        <v>OEJV 0074 </v>
      </c>
      <c r="B24" s="7" t="str">
        <f t="shared" si="1"/>
        <v>II</v>
      </c>
      <c r="C24" s="62">
        <f t="shared" si="2"/>
        <v>54260.403579999998</v>
      </c>
      <c r="D24" t="str">
        <f t="shared" si="3"/>
        <v>vis</v>
      </c>
      <c r="E24">
        <f>VLOOKUP(C24,Active!C$21:E$973,3,FALSE)</f>
        <v>24274.986768531482</v>
      </c>
      <c r="F24" s="7" t="s">
        <v>41</v>
      </c>
      <c r="G24" t="str">
        <f t="shared" si="4"/>
        <v>54260.40358</v>
      </c>
      <c r="H24" s="62">
        <f t="shared" si="5"/>
        <v>24274.5</v>
      </c>
      <c r="I24" s="71" t="s">
        <v>172</v>
      </c>
      <c r="J24" s="72" t="s">
        <v>173</v>
      </c>
      <c r="K24" s="71" t="s">
        <v>174</v>
      </c>
      <c r="L24" s="71" t="s">
        <v>175</v>
      </c>
      <c r="M24" s="72" t="s">
        <v>148</v>
      </c>
      <c r="N24" s="72" t="s">
        <v>163</v>
      </c>
      <c r="O24" s="73" t="s">
        <v>159</v>
      </c>
      <c r="P24" s="74" t="s">
        <v>150</v>
      </c>
    </row>
    <row r="25" spans="1:16" ht="12.75" customHeight="1">
      <c r="A25" s="62" t="str">
        <f t="shared" si="0"/>
        <v>BAVM 214 </v>
      </c>
      <c r="B25" s="7" t="str">
        <f t="shared" si="1"/>
        <v>II</v>
      </c>
      <c r="C25" s="62">
        <f t="shared" si="2"/>
        <v>54923.5075</v>
      </c>
      <c r="D25" t="str">
        <f t="shared" si="3"/>
        <v>vis</v>
      </c>
      <c r="E25">
        <f>VLOOKUP(C25,Active!C$21:E$973,3,FALSE)</f>
        <v>24983.977942101661</v>
      </c>
      <c r="F25" s="7" t="s">
        <v>41</v>
      </c>
      <c r="G25" t="str">
        <f t="shared" si="4"/>
        <v>54923.5075</v>
      </c>
      <c r="H25" s="62">
        <f t="shared" si="5"/>
        <v>24983.5</v>
      </c>
      <c r="I25" s="71" t="s">
        <v>176</v>
      </c>
      <c r="J25" s="72" t="s">
        <v>177</v>
      </c>
      <c r="K25" s="71" t="s">
        <v>178</v>
      </c>
      <c r="L25" s="71" t="s">
        <v>179</v>
      </c>
      <c r="M25" s="72" t="s">
        <v>148</v>
      </c>
      <c r="N25" s="72" t="s">
        <v>169</v>
      </c>
      <c r="O25" s="73" t="s">
        <v>180</v>
      </c>
      <c r="P25" s="74" t="s">
        <v>181</v>
      </c>
    </row>
    <row r="26" spans="1:16" ht="12.75" customHeight="1">
      <c r="A26" s="62" t="str">
        <f t="shared" si="0"/>
        <v>IBVS 5992 </v>
      </c>
      <c r="B26" s="7" t="str">
        <f t="shared" si="1"/>
        <v>II</v>
      </c>
      <c r="C26" s="62">
        <f t="shared" si="2"/>
        <v>55654.895299999996</v>
      </c>
      <c r="D26" t="str">
        <f t="shared" si="3"/>
        <v>vis</v>
      </c>
      <c r="E26">
        <f>VLOOKUP(C26,Active!C$21:E$973,3,FALSE)</f>
        <v>25765.978287774335</v>
      </c>
      <c r="F26" s="7" t="s">
        <v>41</v>
      </c>
      <c r="G26" t="str">
        <f t="shared" si="4"/>
        <v>55654.8953</v>
      </c>
      <c r="H26" s="62">
        <f t="shared" si="5"/>
        <v>25765.5</v>
      </c>
      <c r="I26" s="71" t="s">
        <v>182</v>
      </c>
      <c r="J26" s="72" t="s">
        <v>183</v>
      </c>
      <c r="K26" s="71" t="s">
        <v>184</v>
      </c>
      <c r="L26" s="71" t="s">
        <v>185</v>
      </c>
      <c r="M26" s="72" t="s">
        <v>148</v>
      </c>
      <c r="N26" s="72" t="s">
        <v>41</v>
      </c>
      <c r="O26" s="73" t="s">
        <v>143</v>
      </c>
      <c r="P26" s="74" t="s">
        <v>186</v>
      </c>
    </row>
    <row r="27" spans="1:16" ht="12.75" customHeight="1">
      <c r="A27" s="62" t="str">
        <f t="shared" si="0"/>
        <v>BAVM 231 </v>
      </c>
      <c r="B27" s="7" t="str">
        <f t="shared" si="1"/>
        <v>II</v>
      </c>
      <c r="C27" s="62">
        <f t="shared" si="2"/>
        <v>55690.434999999998</v>
      </c>
      <c r="D27" t="str">
        <f t="shared" si="3"/>
        <v>vis</v>
      </c>
      <c r="E27">
        <f>VLOOKUP(C27,Active!C$21:E$973,3,FALSE)</f>
        <v>25803.977359792087</v>
      </c>
      <c r="F27" s="7" t="s">
        <v>41</v>
      </c>
      <c r="G27" t="str">
        <f t="shared" si="4"/>
        <v>55690.4350</v>
      </c>
      <c r="H27" s="62">
        <f t="shared" si="5"/>
        <v>25803.5</v>
      </c>
      <c r="I27" s="71" t="s">
        <v>187</v>
      </c>
      <c r="J27" s="72" t="s">
        <v>188</v>
      </c>
      <c r="K27" s="71" t="s">
        <v>189</v>
      </c>
      <c r="L27" s="71" t="s">
        <v>190</v>
      </c>
      <c r="M27" s="72" t="s">
        <v>148</v>
      </c>
      <c r="N27" s="72" t="s">
        <v>169</v>
      </c>
      <c r="O27" s="73" t="s">
        <v>191</v>
      </c>
      <c r="P27" s="74" t="s">
        <v>192</v>
      </c>
    </row>
    <row r="28" spans="1:16" ht="12.75" customHeight="1">
      <c r="A28" s="62" t="str">
        <f t="shared" si="0"/>
        <v>IBVS 6029 </v>
      </c>
      <c r="B28" s="7" t="str">
        <f t="shared" si="1"/>
        <v>II</v>
      </c>
      <c r="C28" s="62">
        <f t="shared" si="2"/>
        <v>56030.878299999997</v>
      </c>
      <c r="D28" t="str">
        <f t="shared" si="3"/>
        <v>vis</v>
      </c>
      <c r="E28">
        <f>VLOOKUP(C28,Active!C$21:E$973,3,FALSE)</f>
        <v>26167.979573504083</v>
      </c>
      <c r="F28" s="7" t="s">
        <v>41</v>
      </c>
      <c r="G28" t="str">
        <f t="shared" si="4"/>
        <v>56030.8783</v>
      </c>
      <c r="H28" s="62">
        <f t="shared" si="5"/>
        <v>26167.5</v>
      </c>
      <c r="I28" s="71" t="s">
        <v>193</v>
      </c>
      <c r="J28" s="72" t="s">
        <v>194</v>
      </c>
      <c r="K28" s="71" t="s">
        <v>195</v>
      </c>
      <c r="L28" s="71" t="s">
        <v>196</v>
      </c>
      <c r="M28" s="72" t="s">
        <v>148</v>
      </c>
      <c r="N28" s="72" t="s">
        <v>41</v>
      </c>
      <c r="O28" s="73" t="s">
        <v>143</v>
      </c>
      <c r="P28" s="74" t="s">
        <v>197</v>
      </c>
    </row>
    <row r="29" spans="1:16" ht="12.75" customHeight="1">
      <c r="A29" s="62" t="str">
        <f t="shared" si="0"/>
        <v>BAVM 234 </v>
      </c>
      <c r="B29" s="7" t="str">
        <f t="shared" si="1"/>
        <v>II</v>
      </c>
      <c r="C29" s="62">
        <f t="shared" si="2"/>
        <v>56427.430800000002</v>
      </c>
      <c r="D29" t="str">
        <f t="shared" si="3"/>
        <v>vis</v>
      </c>
      <c r="E29">
        <f>VLOOKUP(C29,Active!C$21:E$973,3,FALSE)</f>
        <v>26591.973782974586</v>
      </c>
      <c r="F29" s="7" t="s">
        <v>41</v>
      </c>
      <c r="G29" t="str">
        <f t="shared" si="4"/>
        <v>56427.4308</v>
      </c>
      <c r="H29" s="62">
        <f t="shared" si="5"/>
        <v>26591.5</v>
      </c>
      <c r="I29" s="71" t="s">
        <v>198</v>
      </c>
      <c r="J29" s="72" t="s">
        <v>199</v>
      </c>
      <c r="K29" s="71" t="s">
        <v>200</v>
      </c>
      <c r="L29" s="71" t="s">
        <v>201</v>
      </c>
      <c r="M29" s="72" t="s">
        <v>148</v>
      </c>
      <c r="N29" s="72" t="s">
        <v>41</v>
      </c>
      <c r="O29" s="73" t="s">
        <v>202</v>
      </c>
      <c r="P29" s="74" t="s">
        <v>203</v>
      </c>
    </row>
    <row r="30" spans="1:16" ht="12.75" customHeight="1">
      <c r="A30" s="62" t="str">
        <f t="shared" si="0"/>
        <v> AA 26.341 </v>
      </c>
      <c r="B30" s="7" t="str">
        <f t="shared" si="1"/>
        <v>I</v>
      </c>
      <c r="C30" s="62">
        <f t="shared" si="2"/>
        <v>28306.437999999998</v>
      </c>
      <c r="D30" t="str">
        <f t="shared" si="3"/>
        <v>vis</v>
      </c>
      <c r="E30">
        <f>VLOOKUP(C30,Active!C$21:E$973,3,FALSE)</f>
        <v>-3475.0113243227029</v>
      </c>
      <c r="F30" s="7" t="s">
        <v>41</v>
      </c>
      <c r="G30" t="str">
        <f t="shared" si="4"/>
        <v>28306.438</v>
      </c>
      <c r="H30" s="62">
        <f t="shared" si="5"/>
        <v>-3475</v>
      </c>
      <c r="I30" s="71" t="s">
        <v>204</v>
      </c>
      <c r="J30" s="72" t="s">
        <v>205</v>
      </c>
      <c r="K30" s="71">
        <v>-3475</v>
      </c>
      <c r="L30" s="71" t="s">
        <v>206</v>
      </c>
      <c r="M30" s="72" t="s">
        <v>109</v>
      </c>
      <c r="N30" s="72"/>
      <c r="O30" s="73" t="s">
        <v>110</v>
      </c>
      <c r="P30" s="73" t="s">
        <v>72</v>
      </c>
    </row>
    <row r="31" spans="1:16" ht="12.75" customHeight="1">
      <c r="A31" s="62" t="str">
        <f t="shared" si="0"/>
        <v> AA 26.341 </v>
      </c>
      <c r="B31" s="7" t="str">
        <f t="shared" si="1"/>
        <v>I</v>
      </c>
      <c r="C31" s="62">
        <f t="shared" si="2"/>
        <v>28696.444</v>
      </c>
      <c r="D31" t="str">
        <f t="shared" si="3"/>
        <v>vis</v>
      </c>
      <c r="E31">
        <f>VLOOKUP(C31,Active!C$21:E$973,3,FALSE)</f>
        <v>-3058.016637216328</v>
      </c>
      <c r="F31" s="7" t="s">
        <v>41</v>
      </c>
      <c r="G31" t="str">
        <f t="shared" si="4"/>
        <v>28696.444</v>
      </c>
      <c r="H31" s="62">
        <f t="shared" si="5"/>
        <v>-3058</v>
      </c>
      <c r="I31" s="71" t="s">
        <v>207</v>
      </c>
      <c r="J31" s="72" t="s">
        <v>208</v>
      </c>
      <c r="K31" s="71">
        <v>-3058</v>
      </c>
      <c r="L31" s="71" t="s">
        <v>209</v>
      </c>
      <c r="M31" s="72" t="s">
        <v>109</v>
      </c>
      <c r="N31" s="72"/>
      <c r="O31" s="73" t="s">
        <v>110</v>
      </c>
      <c r="P31" s="73" t="s">
        <v>72</v>
      </c>
    </row>
    <row r="32" spans="1:16" ht="12.75" customHeight="1">
      <c r="A32" s="62" t="str">
        <f t="shared" si="0"/>
        <v> IODE 4.3.80 </v>
      </c>
      <c r="B32" s="7" t="str">
        <f t="shared" si="1"/>
        <v>I</v>
      </c>
      <c r="C32" s="62">
        <f t="shared" si="2"/>
        <v>31211.41</v>
      </c>
      <c r="D32" t="str">
        <f t="shared" si="3"/>
        <v>vis</v>
      </c>
      <c r="E32">
        <f>VLOOKUP(C32,Active!C$21:E$973,3,FALSE)</f>
        <v>-369.01323661949596</v>
      </c>
      <c r="F32" s="7" t="s">
        <v>41</v>
      </c>
      <c r="G32" t="str">
        <f t="shared" si="4"/>
        <v>31211.41</v>
      </c>
      <c r="H32" s="62">
        <f t="shared" si="5"/>
        <v>-369</v>
      </c>
      <c r="I32" s="71" t="s">
        <v>210</v>
      </c>
      <c r="J32" s="72" t="s">
        <v>211</v>
      </c>
      <c r="K32" s="71">
        <v>-369</v>
      </c>
      <c r="L32" s="71" t="s">
        <v>212</v>
      </c>
      <c r="M32" s="72" t="s">
        <v>213</v>
      </c>
      <c r="N32" s="72"/>
      <c r="O32" s="73" t="s">
        <v>214</v>
      </c>
      <c r="P32" s="73" t="s">
        <v>73</v>
      </c>
    </row>
    <row r="33" spans="1:16" ht="12.75" customHeight="1">
      <c r="A33" s="62" t="str">
        <f t="shared" si="0"/>
        <v> IODE 4.3.80 </v>
      </c>
      <c r="B33" s="7" t="str">
        <f t="shared" si="1"/>
        <v>I</v>
      </c>
      <c r="C33" s="62">
        <f t="shared" si="2"/>
        <v>31212.35</v>
      </c>
      <c r="D33" t="str">
        <f t="shared" si="3"/>
        <v>vis</v>
      </c>
      <c r="E33">
        <f>VLOOKUP(C33,Active!C$21:E$973,3,FALSE)</f>
        <v>-368.00818796414336</v>
      </c>
      <c r="F33" s="7" t="s">
        <v>41</v>
      </c>
      <c r="G33" t="str">
        <f t="shared" si="4"/>
        <v>31212.35</v>
      </c>
      <c r="H33" s="62">
        <f t="shared" si="5"/>
        <v>-368</v>
      </c>
      <c r="I33" s="71" t="s">
        <v>215</v>
      </c>
      <c r="J33" s="72" t="s">
        <v>216</v>
      </c>
      <c r="K33" s="71">
        <v>-368</v>
      </c>
      <c r="L33" s="71" t="s">
        <v>217</v>
      </c>
      <c r="M33" s="72" t="s">
        <v>213</v>
      </c>
      <c r="N33" s="72"/>
      <c r="O33" s="73" t="s">
        <v>214</v>
      </c>
      <c r="P33" s="73" t="s">
        <v>73</v>
      </c>
    </row>
    <row r="34" spans="1:16" ht="12.75" customHeight="1">
      <c r="A34" s="62" t="str">
        <f t="shared" si="0"/>
        <v> IODE 4.3.80 </v>
      </c>
      <c r="B34" s="7" t="str">
        <f t="shared" si="1"/>
        <v>I</v>
      </c>
      <c r="C34" s="62">
        <f t="shared" si="2"/>
        <v>31213.3</v>
      </c>
      <c r="D34" t="str">
        <f t="shared" si="3"/>
        <v>vis</v>
      </c>
      <c r="E34">
        <f>VLOOKUP(C34,Active!C$21:E$973,3,FALSE)</f>
        <v>-366.99244730181675</v>
      </c>
      <c r="F34" s="7" t="s">
        <v>41</v>
      </c>
      <c r="G34" t="str">
        <f t="shared" si="4"/>
        <v>31213.30</v>
      </c>
      <c r="H34" s="62">
        <f t="shared" si="5"/>
        <v>-367</v>
      </c>
      <c r="I34" s="71" t="s">
        <v>218</v>
      </c>
      <c r="J34" s="72" t="s">
        <v>219</v>
      </c>
      <c r="K34" s="71">
        <v>-367</v>
      </c>
      <c r="L34" s="71" t="s">
        <v>220</v>
      </c>
      <c r="M34" s="72" t="s">
        <v>213</v>
      </c>
      <c r="N34" s="72"/>
      <c r="O34" s="73" t="s">
        <v>214</v>
      </c>
      <c r="P34" s="73" t="s">
        <v>73</v>
      </c>
    </row>
    <row r="35" spans="1:16" ht="12.75" customHeight="1">
      <c r="A35" s="62" t="str">
        <f t="shared" si="0"/>
        <v> IODE 4.3.80 </v>
      </c>
      <c r="B35" s="7" t="str">
        <f t="shared" si="1"/>
        <v>I</v>
      </c>
      <c r="C35" s="62">
        <f t="shared" si="2"/>
        <v>31241.37</v>
      </c>
      <c r="D35" t="str">
        <f t="shared" si="3"/>
        <v>vis</v>
      </c>
      <c r="E35">
        <f>VLOOKUP(C35,Active!C$21:E$973,3,FALSE)</f>
        <v>-336.97998373183117</v>
      </c>
      <c r="F35" s="7" t="s">
        <v>41</v>
      </c>
      <c r="G35" t="str">
        <f t="shared" si="4"/>
        <v>31241.37</v>
      </c>
      <c r="H35" s="62">
        <f t="shared" si="5"/>
        <v>-337</v>
      </c>
      <c r="I35" s="71" t="s">
        <v>221</v>
      </c>
      <c r="J35" s="72" t="s">
        <v>222</v>
      </c>
      <c r="K35" s="71">
        <v>-337</v>
      </c>
      <c r="L35" s="71" t="s">
        <v>223</v>
      </c>
      <c r="M35" s="72" t="s">
        <v>213</v>
      </c>
      <c r="N35" s="72"/>
      <c r="O35" s="73" t="s">
        <v>214</v>
      </c>
      <c r="P35" s="73" t="s">
        <v>73</v>
      </c>
    </row>
    <row r="36" spans="1:16" ht="12.75" customHeight="1">
      <c r="A36" s="62" t="str">
        <f t="shared" si="0"/>
        <v> IODE 4.3.80 </v>
      </c>
      <c r="B36" s="7" t="str">
        <f t="shared" si="1"/>
        <v>I</v>
      </c>
      <c r="C36" s="62">
        <f t="shared" si="2"/>
        <v>31242.31</v>
      </c>
      <c r="D36" t="str">
        <f t="shared" si="3"/>
        <v>vis</v>
      </c>
      <c r="E36">
        <f>VLOOKUP(C36,Active!C$21:E$973,3,FALSE)</f>
        <v>-335.97493507647471</v>
      </c>
      <c r="F36" s="7" t="s">
        <v>41</v>
      </c>
      <c r="G36" t="str">
        <f t="shared" si="4"/>
        <v>31242.31</v>
      </c>
      <c r="H36" s="62">
        <f t="shared" si="5"/>
        <v>-336</v>
      </c>
      <c r="I36" s="71" t="s">
        <v>224</v>
      </c>
      <c r="J36" s="72" t="s">
        <v>225</v>
      </c>
      <c r="K36" s="71">
        <v>-336</v>
      </c>
      <c r="L36" s="71" t="s">
        <v>226</v>
      </c>
      <c r="M36" s="72" t="s">
        <v>213</v>
      </c>
      <c r="N36" s="72"/>
      <c r="O36" s="73" t="s">
        <v>214</v>
      </c>
      <c r="P36" s="73" t="s">
        <v>73</v>
      </c>
    </row>
    <row r="37" spans="1:16" ht="12.75" customHeight="1">
      <c r="A37" s="62" t="str">
        <f t="shared" si="0"/>
        <v> IODE 4.3.80 </v>
      </c>
      <c r="B37" s="7" t="str">
        <f t="shared" si="1"/>
        <v>I</v>
      </c>
      <c r="C37" s="62">
        <f t="shared" si="2"/>
        <v>31256.3</v>
      </c>
      <c r="D37" t="str">
        <f t="shared" si="3"/>
        <v>vis</v>
      </c>
      <c r="E37">
        <f>VLOOKUP(C37,Active!C$21:E$973,3,FALSE)</f>
        <v>-321.01681732285726</v>
      </c>
      <c r="F37" s="7" t="s">
        <v>41</v>
      </c>
      <c r="G37" t="str">
        <f t="shared" si="4"/>
        <v>31256.30</v>
      </c>
      <c r="H37" s="62">
        <f t="shared" si="5"/>
        <v>-321</v>
      </c>
      <c r="I37" s="71" t="s">
        <v>227</v>
      </c>
      <c r="J37" s="72" t="s">
        <v>228</v>
      </c>
      <c r="K37" s="71">
        <v>-321</v>
      </c>
      <c r="L37" s="71" t="s">
        <v>212</v>
      </c>
      <c r="M37" s="72" t="s">
        <v>213</v>
      </c>
      <c r="N37" s="72"/>
      <c r="O37" s="73" t="s">
        <v>214</v>
      </c>
      <c r="P37" s="73" t="s">
        <v>73</v>
      </c>
    </row>
    <row r="38" spans="1:16" ht="12.75" customHeight="1">
      <c r="A38" s="62" t="str">
        <f t="shared" si="0"/>
        <v> IODE 4.3.80 </v>
      </c>
      <c r="B38" s="7" t="str">
        <f t="shared" si="1"/>
        <v>I</v>
      </c>
      <c r="C38" s="62">
        <f t="shared" si="2"/>
        <v>31257.25</v>
      </c>
      <c r="D38" t="str">
        <f t="shared" si="3"/>
        <v>vis</v>
      </c>
      <c r="E38">
        <f>VLOOKUP(C38,Active!C$21:E$973,3,FALSE)</f>
        <v>-320.00107666053066</v>
      </c>
      <c r="F38" s="7" t="s">
        <v>41</v>
      </c>
      <c r="G38" t="str">
        <f t="shared" si="4"/>
        <v>31257.25</v>
      </c>
      <c r="H38" s="62">
        <f t="shared" si="5"/>
        <v>-320</v>
      </c>
      <c r="I38" s="71" t="s">
        <v>229</v>
      </c>
      <c r="J38" s="72" t="s">
        <v>230</v>
      </c>
      <c r="K38" s="71">
        <v>-320</v>
      </c>
      <c r="L38" s="71" t="s">
        <v>108</v>
      </c>
      <c r="M38" s="72" t="s">
        <v>213</v>
      </c>
      <c r="N38" s="72"/>
      <c r="O38" s="73" t="s">
        <v>214</v>
      </c>
      <c r="P38" s="73" t="s">
        <v>73</v>
      </c>
    </row>
    <row r="39" spans="1:16" ht="12.75" customHeight="1">
      <c r="A39" s="62" t="str">
        <f t="shared" si="0"/>
        <v> IODE 4.3.80 </v>
      </c>
      <c r="B39" s="7" t="str">
        <f t="shared" si="1"/>
        <v>I</v>
      </c>
      <c r="C39" s="62">
        <f t="shared" si="2"/>
        <v>31270.35</v>
      </c>
      <c r="D39" t="str">
        <f t="shared" si="3"/>
        <v>vis</v>
      </c>
      <c r="E39">
        <f>VLOOKUP(C39,Active!C$21:E$973,3,FALSE)</f>
        <v>-305.99454752740735</v>
      </c>
      <c r="F39" s="7" t="s">
        <v>41</v>
      </c>
      <c r="G39" t="str">
        <f t="shared" si="4"/>
        <v>31270.35</v>
      </c>
      <c r="H39" s="62">
        <f t="shared" si="5"/>
        <v>-306</v>
      </c>
      <c r="I39" s="71" t="s">
        <v>231</v>
      </c>
      <c r="J39" s="72" t="s">
        <v>232</v>
      </c>
      <c r="K39" s="71">
        <v>-306</v>
      </c>
      <c r="L39" s="71" t="s">
        <v>220</v>
      </c>
      <c r="M39" s="72" t="s">
        <v>213</v>
      </c>
      <c r="N39" s="72"/>
      <c r="O39" s="73" t="s">
        <v>214</v>
      </c>
      <c r="P39" s="73" t="s">
        <v>73</v>
      </c>
    </row>
    <row r="40" spans="1:16" ht="12.75" customHeight="1">
      <c r="A40" s="62" t="str">
        <f t="shared" si="0"/>
        <v> IODE 4.3.80 </v>
      </c>
      <c r="B40" s="7" t="str">
        <f t="shared" si="1"/>
        <v>I</v>
      </c>
      <c r="C40" s="62">
        <f t="shared" si="2"/>
        <v>31271.279999999999</v>
      </c>
      <c r="D40" t="str">
        <f t="shared" si="3"/>
        <v>vis</v>
      </c>
      <c r="E40">
        <f>VLOOKUP(C40,Active!C$21:E$973,3,FALSE)</f>
        <v>-305.0001908790249</v>
      </c>
      <c r="F40" s="7" t="s">
        <v>41</v>
      </c>
      <c r="G40" t="str">
        <f t="shared" si="4"/>
        <v>31271.28</v>
      </c>
      <c r="H40" s="62">
        <f t="shared" si="5"/>
        <v>-305</v>
      </c>
      <c r="I40" s="71" t="s">
        <v>233</v>
      </c>
      <c r="J40" s="72" t="s">
        <v>234</v>
      </c>
      <c r="K40" s="71">
        <v>-305</v>
      </c>
      <c r="L40" s="71" t="s">
        <v>108</v>
      </c>
      <c r="M40" s="72" t="s">
        <v>213</v>
      </c>
      <c r="N40" s="72"/>
      <c r="O40" s="73" t="s">
        <v>214</v>
      </c>
      <c r="P40" s="73" t="s">
        <v>73</v>
      </c>
    </row>
    <row r="41" spans="1:16" ht="12.75" customHeight="1">
      <c r="A41" s="62" t="str">
        <f t="shared" si="0"/>
        <v> BBS 122 </v>
      </c>
      <c r="B41" s="7" t="str">
        <f t="shared" si="1"/>
        <v>I</v>
      </c>
      <c r="C41" s="62">
        <f t="shared" si="2"/>
        <v>51642.575199999999</v>
      </c>
      <c r="D41" t="str">
        <f t="shared" si="3"/>
        <v>vis</v>
      </c>
      <c r="E41">
        <f>VLOOKUP(C41,Active!C$21:E$973,3,FALSE)</f>
        <v>21476.002839524535</v>
      </c>
      <c r="F41" s="7" t="s">
        <v>41</v>
      </c>
      <c r="G41" t="str">
        <f t="shared" si="4"/>
        <v>51642.5752</v>
      </c>
      <c r="H41" s="62">
        <f t="shared" si="5"/>
        <v>21476</v>
      </c>
      <c r="I41" s="71" t="s">
        <v>235</v>
      </c>
      <c r="J41" s="72" t="s">
        <v>236</v>
      </c>
      <c r="K41" s="71">
        <v>21476</v>
      </c>
      <c r="L41" s="71" t="s">
        <v>237</v>
      </c>
      <c r="M41" s="72" t="s">
        <v>120</v>
      </c>
      <c r="N41" s="72" t="s">
        <v>121</v>
      </c>
      <c r="O41" s="73" t="s">
        <v>143</v>
      </c>
      <c r="P41" s="73" t="s">
        <v>75</v>
      </c>
    </row>
    <row r="42" spans="1:16" ht="12.75" customHeight="1">
      <c r="A42" s="62" t="str">
        <f t="shared" si="0"/>
        <v>VSB 40 </v>
      </c>
      <c r="B42" s="7" t="str">
        <f t="shared" si="1"/>
        <v>I</v>
      </c>
      <c r="C42" s="62">
        <f t="shared" si="2"/>
        <v>52326.258099999999</v>
      </c>
      <c r="D42" t="str">
        <f t="shared" si="3"/>
        <v>vis</v>
      </c>
      <c r="E42">
        <f>VLOOKUP(C42,Active!C$21:E$973,3,FALSE)</f>
        <v>22206.997072858067</v>
      </c>
      <c r="F42" s="7" t="s">
        <v>41</v>
      </c>
      <c r="G42" t="str">
        <f t="shared" si="4"/>
        <v>52326.2581</v>
      </c>
      <c r="H42" s="62">
        <f t="shared" si="5"/>
        <v>22207</v>
      </c>
      <c r="I42" s="71" t="s">
        <v>238</v>
      </c>
      <c r="J42" s="72" t="s">
        <v>239</v>
      </c>
      <c r="K42" s="71">
        <v>22207</v>
      </c>
      <c r="L42" s="71" t="s">
        <v>240</v>
      </c>
      <c r="M42" s="72" t="s">
        <v>120</v>
      </c>
      <c r="N42" s="72" t="s">
        <v>121</v>
      </c>
      <c r="O42" s="73" t="s">
        <v>241</v>
      </c>
      <c r="P42" s="74" t="s">
        <v>77</v>
      </c>
    </row>
    <row r="43" spans="1:16" ht="12.75" customHeight="1">
      <c r="A43" s="62" t="str">
        <f t="shared" si="0"/>
        <v>BAVM 158 </v>
      </c>
      <c r="B43" s="7" t="str">
        <f t="shared" si="1"/>
        <v>I</v>
      </c>
      <c r="C43" s="62">
        <f t="shared" si="2"/>
        <v>52409.498500000002</v>
      </c>
      <c r="D43" t="str">
        <f t="shared" si="3"/>
        <v>vis</v>
      </c>
      <c r="E43">
        <f>VLOOKUP(C43,Active!C$21:E$973,3,FALSE)</f>
        <v>22295.997766572036</v>
      </c>
      <c r="F43" s="7" t="s">
        <v>41</v>
      </c>
      <c r="G43" t="str">
        <f t="shared" si="4"/>
        <v>52409.4985</v>
      </c>
      <c r="H43" s="62">
        <f t="shared" si="5"/>
        <v>22296</v>
      </c>
      <c r="I43" s="71" t="s">
        <v>242</v>
      </c>
      <c r="J43" s="72" t="s">
        <v>243</v>
      </c>
      <c r="K43" s="71">
        <v>22296</v>
      </c>
      <c r="L43" s="71" t="s">
        <v>244</v>
      </c>
      <c r="M43" s="72" t="s">
        <v>120</v>
      </c>
      <c r="N43" s="72" t="s">
        <v>245</v>
      </c>
      <c r="O43" s="73" t="s">
        <v>126</v>
      </c>
      <c r="P43" s="74" t="s">
        <v>78</v>
      </c>
    </row>
    <row r="44" spans="1:16" ht="12.75" customHeight="1">
      <c r="A44" s="62" t="str">
        <f t="shared" si="0"/>
        <v>BAVM 158 </v>
      </c>
      <c r="B44" s="7" t="str">
        <f t="shared" si="1"/>
        <v>I</v>
      </c>
      <c r="C44" s="62">
        <f t="shared" si="2"/>
        <v>52409.499400000001</v>
      </c>
      <c r="D44" t="str">
        <f t="shared" si="3"/>
        <v>vis</v>
      </c>
      <c r="E44">
        <f>VLOOKUP(C44,Active!C$21:E$973,3,FALSE)</f>
        <v>22295.998728852664</v>
      </c>
      <c r="F44" s="7" t="s">
        <v>41</v>
      </c>
      <c r="G44" t="str">
        <f t="shared" si="4"/>
        <v>52409.4994</v>
      </c>
      <c r="H44" s="62">
        <f t="shared" si="5"/>
        <v>22296</v>
      </c>
      <c r="I44" s="71" t="s">
        <v>246</v>
      </c>
      <c r="J44" s="72" t="s">
        <v>247</v>
      </c>
      <c r="K44" s="71">
        <v>22296</v>
      </c>
      <c r="L44" s="71" t="s">
        <v>248</v>
      </c>
      <c r="M44" s="72" t="s">
        <v>120</v>
      </c>
      <c r="N44" s="72" t="s">
        <v>131</v>
      </c>
      <c r="O44" s="73" t="s">
        <v>126</v>
      </c>
      <c r="P44" s="74" t="s">
        <v>78</v>
      </c>
    </row>
    <row r="45" spans="1:16" ht="12.75" customHeight="1">
      <c r="A45" s="62" t="str">
        <f t="shared" si="0"/>
        <v>VSB 40 </v>
      </c>
      <c r="B45" s="7" t="str">
        <f t="shared" si="1"/>
        <v>I</v>
      </c>
      <c r="C45" s="62">
        <f t="shared" si="2"/>
        <v>52416.049400000004</v>
      </c>
      <c r="D45" t="str">
        <f t="shared" si="3"/>
        <v>vis</v>
      </c>
      <c r="E45">
        <f>VLOOKUP(C45,Active!C$21:E$973,3,FALSE)</f>
        <v>22303.001993419228</v>
      </c>
      <c r="F45" s="7" t="s">
        <v>41</v>
      </c>
      <c r="G45" t="str">
        <f t="shared" si="4"/>
        <v>52416.0494</v>
      </c>
      <c r="H45" s="62">
        <f t="shared" si="5"/>
        <v>22303</v>
      </c>
      <c r="I45" s="71" t="s">
        <v>249</v>
      </c>
      <c r="J45" s="72" t="s">
        <v>250</v>
      </c>
      <c r="K45" s="71">
        <v>22303</v>
      </c>
      <c r="L45" s="71" t="s">
        <v>251</v>
      </c>
      <c r="M45" s="72" t="s">
        <v>120</v>
      </c>
      <c r="N45" s="72" t="s">
        <v>121</v>
      </c>
      <c r="O45" s="73" t="s">
        <v>252</v>
      </c>
      <c r="P45" s="74" t="s">
        <v>77</v>
      </c>
    </row>
    <row r="46" spans="1:16" ht="12.75" customHeight="1">
      <c r="A46" s="62" t="str">
        <f t="shared" si="0"/>
        <v>VSB 42 </v>
      </c>
      <c r="B46" s="7" t="str">
        <f t="shared" si="1"/>
        <v>I</v>
      </c>
      <c r="C46" s="62">
        <f t="shared" si="2"/>
        <v>52763.0334</v>
      </c>
      <c r="D46" t="str">
        <f t="shared" si="3"/>
        <v>vis</v>
      </c>
      <c r="E46">
        <f>VLOOKUP(C46,Active!C$21:E$973,3,FALSE)</f>
        <v>22673.997528131302</v>
      </c>
      <c r="F46" s="7" t="s">
        <v>41</v>
      </c>
      <c r="G46" t="str">
        <f t="shared" si="4"/>
        <v>52763.0334</v>
      </c>
      <c r="H46" s="62">
        <f t="shared" si="5"/>
        <v>22674</v>
      </c>
      <c r="I46" s="71" t="s">
        <v>253</v>
      </c>
      <c r="J46" s="72" t="s">
        <v>254</v>
      </c>
      <c r="K46" s="71">
        <v>22674</v>
      </c>
      <c r="L46" s="71" t="s">
        <v>255</v>
      </c>
      <c r="M46" s="72" t="s">
        <v>120</v>
      </c>
      <c r="N46" s="72" t="s">
        <v>121</v>
      </c>
      <c r="O46" s="73" t="s">
        <v>241</v>
      </c>
      <c r="P46" s="74" t="s">
        <v>79</v>
      </c>
    </row>
    <row r="47" spans="1:16" ht="12.75" customHeight="1">
      <c r="A47" s="62" t="str">
        <f t="shared" si="0"/>
        <v>VSB 45 </v>
      </c>
      <c r="B47" s="7" t="str">
        <f t="shared" si="1"/>
        <v>II</v>
      </c>
      <c r="C47" s="62">
        <f t="shared" si="2"/>
        <v>53814.280500000001</v>
      </c>
      <c r="D47" t="str">
        <f t="shared" si="3"/>
        <v>vis</v>
      </c>
      <c r="E47">
        <f>VLOOKUP(C47,Active!C$21:E$973,3,FALSE)</f>
        <v>23797.991660365122</v>
      </c>
      <c r="F47" s="7" t="s">
        <v>41</v>
      </c>
      <c r="G47" t="str">
        <f t="shared" si="4"/>
        <v>53814.2805</v>
      </c>
      <c r="H47" s="62">
        <f t="shared" si="5"/>
        <v>23797.5</v>
      </c>
      <c r="I47" s="71" t="s">
        <v>256</v>
      </c>
      <c r="J47" s="72" t="s">
        <v>257</v>
      </c>
      <c r="K47" s="71">
        <v>23797.5</v>
      </c>
      <c r="L47" s="71" t="s">
        <v>258</v>
      </c>
      <c r="M47" s="72" t="s">
        <v>120</v>
      </c>
      <c r="N47" s="72" t="s">
        <v>121</v>
      </c>
      <c r="O47" s="73" t="s">
        <v>259</v>
      </c>
      <c r="P47" s="74" t="s">
        <v>80</v>
      </c>
    </row>
    <row r="48" spans="1:16" ht="12.75" customHeight="1">
      <c r="A48" s="62" t="str">
        <f t="shared" si="0"/>
        <v>VSB 45 </v>
      </c>
      <c r="B48" s="7" t="str">
        <f t="shared" si="1"/>
        <v>I</v>
      </c>
      <c r="C48" s="62">
        <f t="shared" si="2"/>
        <v>53867.121099999997</v>
      </c>
      <c r="D48" t="str">
        <f t="shared" si="3"/>
        <v>vis</v>
      </c>
      <c r="E48">
        <f>VLOOKUP(C48,Active!C$21:E$973,3,FALSE)</f>
        <v>23854.488866724794</v>
      </c>
      <c r="F48" s="7" t="s">
        <v>41</v>
      </c>
      <c r="G48" t="str">
        <f t="shared" si="4"/>
        <v>53867.1211</v>
      </c>
      <c r="H48" s="62">
        <f t="shared" si="5"/>
        <v>23854</v>
      </c>
      <c r="I48" s="71" t="s">
        <v>260</v>
      </c>
      <c r="J48" s="72" t="s">
        <v>261</v>
      </c>
      <c r="K48" s="71">
        <v>23854</v>
      </c>
      <c r="L48" s="71" t="s">
        <v>262</v>
      </c>
      <c r="M48" s="72" t="s">
        <v>120</v>
      </c>
      <c r="N48" s="72" t="s">
        <v>121</v>
      </c>
      <c r="O48" s="73" t="s">
        <v>259</v>
      </c>
      <c r="P48" s="74" t="s">
        <v>80</v>
      </c>
    </row>
    <row r="49" spans="1:16" ht="12.75" customHeight="1">
      <c r="A49" s="62" t="str">
        <f t="shared" si="0"/>
        <v>VSB 46 </v>
      </c>
      <c r="B49" s="7" t="str">
        <f t="shared" si="1"/>
        <v>II</v>
      </c>
      <c r="C49" s="62">
        <f t="shared" si="2"/>
        <v>54236.089</v>
      </c>
      <c r="D49" t="str">
        <f t="shared" si="3"/>
        <v>vis</v>
      </c>
      <c r="E49">
        <f>VLOOKUP(C49,Active!C$21:E$973,3,FALSE)</f>
        <v>24248.989602643724</v>
      </c>
      <c r="F49" s="7" t="s">
        <v>41</v>
      </c>
      <c r="G49" t="str">
        <f t="shared" si="4"/>
        <v>54236.0890</v>
      </c>
      <c r="H49" s="62">
        <f t="shared" si="5"/>
        <v>24248.5</v>
      </c>
      <c r="I49" s="71" t="s">
        <v>263</v>
      </c>
      <c r="J49" s="72" t="s">
        <v>264</v>
      </c>
      <c r="K49" s="71" t="s">
        <v>265</v>
      </c>
      <c r="L49" s="71" t="s">
        <v>266</v>
      </c>
      <c r="M49" s="72" t="s">
        <v>148</v>
      </c>
      <c r="N49" s="72" t="s">
        <v>95</v>
      </c>
      <c r="O49" s="73" t="s">
        <v>252</v>
      </c>
      <c r="P49" s="74" t="s">
        <v>84</v>
      </c>
    </row>
    <row r="50" spans="1:16" ht="12.75" customHeight="1">
      <c r="A50" s="62" t="str">
        <f t="shared" si="0"/>
        <v>VSB 51 </v>
      </c>
      <c r="B50" s="7" t="str">
        <f t="shared" si="1"/>
        <v>II</v>
      </c>
      <c r="C50" s="62">
        <f t="shared" si="2"/>
        <v>55319.126199999999</v>
      </c>
      <c r="D50" t="str">
        <f t="shared" si="3"/>
        <v>vis</v>
      </c>
      <c r="E50">
        <f>VLOOKUP(C50,Active!C$21:E$973,3,FALSE)</f>
        <v>25406.973731961123</v>
      </c>
      <c r="F50" s="7" t="s">
        <v>41</v>
      </c>
      <c r="G50" t="str">
        <f t="shared" si="4"/>
        <v>55319.1262</v>
      </c>
      <c r="H50" s="62">
        <f t="shared" si="5"/>
        <v>25406.5</v>
      </c>
      <c r="I50" s="71" t="s">
        <v>267</v>
      </c>
      <c r="J50" s="72" t="s">
        <v>268</v>
      </c>
      <c r="K50" s="71" t="s">
        <v>269</v>
      </c>
      <c r="L50" s="71" t="s">
        <v>185</v>
      </c>
      <c r="M50" s="72" t="s">
        <v>148</v>
      </c>
      <c r="N50" s="72" t="s">
        <v>270</v>
      </c>
      <c r="O50" s="73" t="s">
        <v>252</v>
      </c>
      <c r="P50" s="74" t="s">
        <v>87</v>
      </c>
    </row>
    <row r="51" spans="1:16" ht="12.75" customHeight="1">
      <c r="A51" s="62" t="str">
        <f t="shared" si="0"/>
        <v>VSB 53 </v>
      </c>
      <c r="B51" s="7" t="str">
        <f t="shared" si="1"/>
        <v>I</v>
      </c>
      <c r="C51" s="62">
        <f t="shared" si="2"/>
        <v>55703.056900000003</v>
      </c>
      <c r="D51" t="str">
        <f t="shared" si="3"/>
        <v>vis</v>
      </c>
      <c r="E51">
        <f>VLOOKUP(C51,Active!C$21:E$973,3,FALSE)</f>
        <v>25817.472704071894</v>
      </c>
      <c r="F51" s="7" t="s">
        <v>41</v>
      </c>
      <c r="G51" t="str">
        <f t="shared" si="4"/>
        <v>55703.0569</v>
      </c>
      <c r="H51" s="62">
        <f t="shared" si="5"/>
        <v>25817</v>
      </c>
      <c r="I51" s="71" t="s">
        <v>271</v>
      </c>
      <c r="J51" s="72" t="s">
        <v>272</v>
      </c>
      <c r="K51" s="71" t="s">
        <v>273</v>
      </c>
      <c r="L51" s="71" t="s">
        <v>274</v>
      </c>
      <c r="M51" s="72" t="s">
        <v>148</v>
      </c>
      <c r="N51" s="72" t="s">
        <v>270</v>
      </c>
      <c r="O51" s="73" t="s">
        <v>252</v>
      </c>
      <c r="P51" s="74" t="s">
        <v>90</v>
      </c>
    </row>
    <row r="52" spans="1:16" ht="12.75" customHeight="1">
      <c r="A52" s="62" t="str">
        <f t="shared" si="0"/>
        <v>VSB 59 </v>
      </c>
      <c r="B52" s="7" t="str">
        <f t="shared" si="1"/>
        <v>II</v>
      </c>
      <c r="C52" s="62">
        <f t="shared" si="2"/>
        <v>56794.0576</v>
      </c>
      <c r="D52" t="str">
        <f t="shared" si="3"/>
        <v>vis</v>
      </c>
      <c r="E52">
        <f>VLOOKUP(C52,Active!C$21:E$973,3,FALSE)</f>
        <v>26983.971413141328</v>
      </c>
      <c r="F52" s="7" t="s">
        <v>41</v>
      </c>
      <c r="G52" t="str">
        <f t="shared" si="4"/>
        <v>56794.0576</v>
      </c>
      <c r="H52" s="62">
        <f t="shared" si="5"/>
        <v>26983.5</v>
      </c>
      <c r="I52" s="71" t="s">
        <v>275</v>
      </c>
      <c r="J52" s="72" t="s">
        <v>276</v>
      </c>
      <c r="K52" s="71" t="s">
        <v>277</v>
      </c>
      <c r="L52" s="71" t="s">
        <v>278</v>
      </c>
      <c r="M52" s="72" t="s">
        <v>148</v>
      </c>
      <c r="N52" s="72" t="s">
        <v>35</v>
      </c>
      <c r="O52" s="73" t="s">
        <v>252</v>
      </c>
      <c r="P52" s="74" t="s">
        <v>94</v>
      </c>
    </row>
    <row r="53" spans="1:16" ht="12.75" customHeight="1">
      <c r="A53" s="62" t="str">
        <f t="shared" si="0"/>
        <v>VSB 59 </v>
      </c>
      <c r="B53" s="7" t="str">
        <f t="shared" si="1"/>
        <v>II</v>
      </c>
      <c r="C53" s="62">
        <f t="shared" si="2"/>
        <v>56794.058499999999</v>
      </c>
      <c r="D53" t="str">
        <f t="shared" si="3"/>
        <v>vis</v>
      </c>
      <c r="E53">
        <f>VLOOKUP(C53,Active!C$21:E$973,3,FALSE)</f>
        <v>26983.972375421952</v>
      </c>
      <c r="F53" s="7" t="s">
        <v>41</v>
      </c>
      <c r="G53" t="str">
        <f t="shared" si="4"/>
        <v>56794.0585</v>
      </c>
      <c r="H53" s="62">
        <f t="shared" si="5"/>
        <v>26983.5</v>
      </c>
      <c r="I53" s="71" t="s">
        <v>279</v>
      </c>
      <c r="J53" s="72" t="s">
        <v>280</v>
      </c>
      <c r="K53" s="71" t="s">
        <v>277</v>
      </c>
      <c r="L53" s="71" t="s">
        <v>281</v>
      </c>
      <c r="M53" s="72" t="s">
        <v>148</v>
      </c>
      <c r="N53" s="72" t="s">
        <v>41</v>
      </c>
      <c r="O53" s="73" t="s">
        <v>252</v>
      </c>
      <c r="P53" s="74" t="s">
        <v>94</v>
      </c>
    </row>
    <row r="54" spans="1:16" ht="12.75" customHeight="1">
      <c r="A54" s="62" t="str">
        <f t="shared" si="0"/>
        <v>VSB 59 </v>
      </c>
      <c r="B54" s="7" t="str">
        <f t="shared" si="1"/>
        <v>II</v>
      </c>
      <c r="C54" s="62">
        <f t="shared" si="2"/>
        <v>56794.059200000003</v>
      </c>
      <c r="D54" t="str">
        <f t="shared" si="3"/>
        <v>vis</v>
      </c>
      <c r="E54">
        <f>VLOOKUP(C54,Active!C$21:E$973,3,FALSE)</f>
        <v>26983.973123862444</v>
      </c>
      <c r="F54" s="7" t="s">
        <v>41</v>
      </c>
      <c r="G54" t="str">
        <f t="shared" si="4"/>
        <v>56794.0592</v>
      </c>
      <c r="H54" s="62">
        <f t="shared" si="5"/>
        <v>26983.5</v>
      </c>
      <c r="I54" s="71" t="s">
        <v>282</v>
      </c>
      <c r="J54" s="72" t="s">
        <v>283</v>
      </c>
      <c r="K54" s="71" t="s">
        <v>277</v>
      </c>
      <c r="L54" s="71" t="s">
        <v>284</v>
      </c>
      <c r="M54" s="72" t="s">
        <v>148</v>
      </c>
      <c r="N54" s="72" t="s">
        <v>95</v>
      </c>
      <c r="O54" s="73" t="s">
        <v>252</v>
      </c>
      <c r="P54" s="74" t="s">
        <v>94</v>
      </c>
    </row>
    <row r="55" spans="1:16" ht="12.75" customHeight="1">
      <c r="A55" s="62" t="str">
        <f t="shared" si="0"/>
        <v>BAVM 241 (=IBVS 6157) </v>
      </c>
      <c r="B55" s="7" t="str">
        <f t="shared" si="1"/>
        <v>II</v>
      </c>
      <c r="C55" s="62">
        <f t="shared" si="2"/>
        <v>57178.457000000002</v>
      </c>
      <c r="D55" t="str">
        <f t="shared" si="3"/>
        <v>vis</v>
      </c>
      <c r="E55">
        <f>VLOOKUP(C55,Active!C$21:E$973,3,FALSE)</f>
        <v>27394.971519618863</v>
      </c>
      <c r="F55" s="7" t="s">
        <v>41</v>
      </c>
      <c r="G55" t="str">
        <f t="shared" si="4"/>
        <v>57178.457</v>
      </c>
      <c r="H55" s="62">
        <f t="shared" si="5"/>
        <v>27394.5</v>
      </c>
      <c r="I55" s="71" t="s">
        <v>285</v>
      </c>
      <c r="J55" s="72" t="s">
        <v>286</v>
      </c>
      <c r="K55" s="71" t="s">
        <v>287</v>
      </c>
      <c r="L55" s="71" t="s">
        <v>288</v>
      </c>
      <c r="M55" s="72" t="s">
        <v>148</v>
      </c>
      <c r="N55" s="72" t="s">
        <v>41</v>
      </c>
      <c r="O55" s="73" t="s">
        <v>202</v>
      </c>
      <c r="P55" s="74" t="s">
        <v>289</v>
      </c>
    </row>
  </sheetData>
  <sheetProtection selectLockedCells="1" selectUnlockedCells="1"/>
  <hyperlinks>
    <hyperlink ref="P14" r:id="rId1"/>
    <hyperlink ref="P15" r:id="rId2"/>
    <hyperlink ref="P19" r:id="rId3"/>
    <hyperlink ref="P20" r:id="rId4"/>
    <hyperlink ref="P21" r:id="rId5"/>
    <hyperlink ref="P22" r:id="rId6"/>
    <hyperlink ref="P23" r:id="rId7"/>
    <hyperlink ref="P24" r:id="rId8"/>
    <hyperlink ref="P25" r:id="rId9"/>
    <hyperlink ref="P26" r:id="rId10"/>
    <hyperlink ref="P27" r:id="rId11"/>
    <hyperlink ref="P28" r:id="rId12"/>
    <hyperlink ref="P29" r:id="rId13"/>
    <hyperlink ref="P42" r:id="rId14"/>
    <hyperlink ref="P43" r:id="rId15"/>
    <hyperlink ref="P44" r:id="rId16"/>
    <hyperlink ref="P45" r:id="rId17"/>
    <hyperlink ref="P46" r:id="rId18"/>
    <hyperlink ref="P47" r:id="rId19"/>
    <hyperlink ref="P48" r:id="rId20"/>
    <hyperlink ref="P49" r:id="rId21"/>
    <hyperlink ref="P50" r:id="rId22"/>
    <hyperlink ref="P51" r:id="rId23"/>
    <hyperlink ref="P52" r:id="rId24"/>
    <hyperlink ref="P53" r:id="rId25"/>
    <hyperlink ref="P54" r:id="rId26"/>
    <hyperlink ref="P55" r:id="rId27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2023-01-25T07:31:03Z</dcterms:created>
  <dcterms:modified xsi:type="dcterms:W3CDTF">2023-01-25T07:31:24Z</dcterms:modified>
</cp:coreProperties>
</file>