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9D83B63-8CFF-4F12-8A87-FCACA540D722}" xr6:coauthVersionLast="47" xr6:coauthVersionMax="47" xr10:uidLastSave="{00000000-0000-0000-0000-000000000000}"/>
  <bookViews>
    <workbookView xWindow="14010" yWindow="660" windowWidth="12585" windowHeight="142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0" i="1" l="1"/>
  <c r="F40" i="1" s="1"/>
  <c r="G40" i="1" s="1"/>
  <c r="K40" i="1" s="1"/>
  <c r="Q40" i="1"/>
  <c r="Q39" i="1"/>
  <c r="E39" i="1"/>
  <c r="F39" i="1"/>
  <c r="E34" i="1"/>
  <c r="F34" i="1"/>
  <c r="K36" i="1"/>
  <c r="E37" i="1"/>
  <c r="F37" i="1"/>
  <c r="E23" i="1"/>
  <c r="F23" i="1"/>
  <c r="E33" i="1"/>
  <c r="F33" i="1"/>
  <c r="C7" i="1"/>
  <c r="G34" i="1"/>
  <c r="K34" i="1"/>
  <c r="C8" i="1"/>
  <c r="D9" i="1"/>
  <c r="C9" i="1"/>
  <c r="E21" i="1"/>
  <c r="F21" i="1"/>
  <c r="E25" i="1"/>
  <c r="F25" i="1"/>
  <c r="G25" i="1"/>
  <c r="J25" i="1"/>
  <c r="E27" i="1"/>
  <c r="F27" i="1"/>
  <c r="G27" i="1"/>
  <c r="I27" i="1"/>
  <c r="E28" i="1"/>
  <c r="F28" i="1"/>
  <c r="E30" i="1"/>
  <c r="F30" i="1"/>
  <c r="G30" i="1"/>
  <c r="I30" i="1"/>
  <c r="E31" i="1"/>
  <c r="F31" i="1"/>
  <c r="E36" i="1"/>
  <c r="F36" i="1"/>
  <c r="U36" i="1"/>
  <c r="Q38" i="1"/>
  <c r="Q34" i="1"/>
  <c r="Q33" i="1"/>
  <c r="Q22" i="1"/>
  <c r="G22" i="2"/>
  <c r="C22" i="2"/>
  <c r="G25" i="2"/>
  <c r="C25" i="2"/>
  <c r="E25" i="2"/>
  <c r="G24" i="2"/>
  <c r="C24" i="2"/>
  <c r="E24" i="2"/>
  <c r="G21" i="2"/>
  <c r="C21" i="2"/>
  <c r="G20" i="2"/>
  <c r="C20" i="2"/>
  <c r="E20" i="2"/>
  <c r="G19" i="2"/>
  <c r="C19" i="2"/>
  <c r="E19" i="2"/>
  <c r="G18" i="2"/>
  <c r="C18" i="2"/>
  <c r="G17" i="2"/>
  <c r="C17" i="2"/>
  <c r="E17" i="2"/>
  <c r="G16" i="2"/>
  <c r="C16" i="2"/>
  <c r="E16" i="2"/>
  <c r="G15" i="2"/>
  <c r="C15" i="2"/>
  <c r="G14" i="2"/>
  <c r="C14" i="2"/>
  <c r="E14" i="2"/>
  <c r="G13" i="2"/>
  <c r="C13" i="2"/>
  <c r="G12" i="2"/>
  <c r="C12" i="2"/>
  <c r="E12" i="2"/>
  <c r="G23" i="2"/>
  <c r="C23" i="2"/>
  <c r="G11" i="2"/>
  <c r="C11" i="2"/>
  <c r="E11" i="2"/>
  <c r="H22" i="2"/>
  <c r="B22" i="2"/>
  <c r="D22" i="2"/>
  <c r="A22" i="2"/>
  <c r="H25" i="2"/>
  <c r="D25" i="2"/>
  <c r="B25" i="2"/>
  <c r="A25" i="2"/>
  <c r="H24" i="2"/>
  <c r="B24" i="2"/>
  <c r="D24" i="2"/>
  <c r="A24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23" i="2"/>
  <c r="D23" i="2"/>
  <c r="B23" i="2"/>
  <c r="A23" i="2"/>
  <c r="H11" i="2"/>
  <c r="B11" i="2"/>
  <c r="D11" i="2"/>
  <c r="A11" i="2"/>
  <c r="Q36" i="1"/>
  <c r="Q37" i="1"/>
  <c r="Q31" i="1"/>
  <c r="Q35" i="1"/>
  <c r="Q32" i="1"/>
  <c r="F16" i="1"/>
  <c r="C17" i="1"/>
  <c r="Q28" i="1"/>
  <c r="Q26" i="1"/>
  <c r="Q25" i="1"/>
  <c r="Q24" i="1"/>
  <c r="Q23" i="1"/>
  <c r="Q27" i="1"/>
  <c r="Q29" i="1"/>
  <c r="Q30" i="1"/>
  <c r="Q21" i="1"/>
  <c r="E23" i="2"/>
  <c r="E24" i="1"/>
  <c r="F24" i="1"/>
  <c r="G24" i="1"/>
  <c r="J24" i="1"/>
  <c r="E38" i="1"/>
  <c r="F38" i="1"/>
  <c r="G38" i="1"/>
  <c r="I38" i="1"/>
  <c r="E32" i="1"/>
  <c r="F32" i="1"/>
  <c r="G32" i="1"/>
  <c r="K32" i="1"/>
  <c r="E22" i="1"/>
  <c r="F22" i="1"/>
  <c r="G22" i="1"/>
  <c r="I22" i="1"/>
  <c r="E35" i="1"/>
  <c r="F35" i="1"/>
  <c r="G35" i="1"/>
  <c r="K35" i="1"/>
  <c r="G31" i="1"/>
  <c r="I31" i="1"/>
  <c r="E29" i="1"/>
  <c r="G21" i="1"/>
  <c r="G33" i="1"/>
  <c r="K33" i="1"/>
  <c r="G23" i="1"/>
  <c r="J23" i="1"/>
  <c r="G37" i="1"/>
  <c r="K37" i="1"/>
  <c r="G39" i="1"/>
  <c r="I39" i="1"/>
  <c r="G28" i="1"/>
  <c r="I28" i="1"/>
  <c r="E26" i="1"/>
  <c r="F26" i="1"/>
  <c r="G26" i="1"/>
  <c r="J26" i="1"/>
  <c r="H21" i="1"/>
  <c r="E22" i="2"/>
  <c r="E18" i="2"/>
  <c r="F29" i="1"/>
  <c r="G29" i="1"/>
  <c r="E21" i="2"/>
  <c r="E15" i="2"/>
  <c r="E13" i="2"/>
  <c r="I29" i="1"/>
  <c r="C11" i="1"/>
  <c r="C12" i="1"/>
  <c r="O40" i="1" l="1"/>
  <c r="C16" i="1"/>
  <c r="D18" i="1" s="1"/>
  <c r="O24" i="1"/>
  <c r="O21" i="1"/>
  <c r="C15" i="1"/>
  <c r="O29" i="1"/>
  <c r="O39" i="1"/>
  <c r="O25" i="1"/>
  <c r="O35" i="1"/>
  <c r="O37" i="1"/>
  <c r="O32" i="1"/>
  <c r="O23" i="1"/>
  <c r="O34" i="1"/>
  <c r="O38" i="1"/>
  <c r="O36" i="1"/>
  <c r="O33" i="1"/>
  <c r="O22" i="1"/>
  <c r="O30" i="1"/>
  <c r="O27" i="1"/>
  <c r="O28" i="1"/>
  <c r="O26" i="1"/>
  <c r="O31" i="1"/>
  <c r="F17" i="1"/>
  <c r="C18" i="1" l="1"/>
  <c r="F18" i="1"/>
  <c r="F19" i="1" s="1"/>
</calcChain>
</file>

<file path=xl/sharedStrings.xml><?xml version="1.0" encoding="utf-8"?>
<sst xmlns="http://schemas.openxmlformats.org/spreadsheetml/2006/main" count="204" uniqueCount="142">
  <si>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</si>
  <si>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</si>
  <si>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</si>
  <si>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</si>
  <si>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</si>
  <si>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</si>
  <si>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</si>
  <si>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</si>
  <si>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</si>
  <si>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</si>
  <si>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</si>
  <si>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</si>
  <si>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</si>
  <si>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</si>
  <si>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</si>
  <si>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</si>
  <si>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</si>
  <si>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</si>
  <si>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</si>
  <si>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</si>
  <si>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</si>
  <si>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</si>
  <si>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</si>
  <si>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</si>
  <si>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</si>
  <si>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</si>
  <si>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</si>
  <si>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</si>
  <si>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</si>
  <si>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 Bull.109</t>
  </si>
  <si>
    <t>BBSAG Bull.94</t>
  </si>
  <si>
    <t>BBSAG Bull.95</t>
  </si>
  <si>
    <t>IBVS 3491</t>
  </si>
  <si>
    <t>II</t>
  </si>
  <si>
    <t>I</t>
  </si>
  <si>
    <t>Poretti 1987</t>
  </si>
  <si>
    <t>Poretti 1987A&amp;AS…69..337P</t>
  </si>
  <si>
    <t>EB/KE</t>
  </si>
  <si>
    <t>FO Vir / GSC 00300-01266</t>
  </si>
  <si>
    <t>IBVS 5438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</si>
  <si>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</si>
  <si>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</si>
  <si>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</si>
  <si>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</si>
  <si>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</si>
  <si>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</si>
  <si>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</si>
  <si>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</si>
  <si>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</si>
  <si>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5690</t>
  </si>
  <si>
    <t>2013JAVSO..41..122</t>
  </si>
  <si>
    <t>OEJV 0160</t>
  </si>
  <si>
    <t>vis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</si>
  <si>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</si>
  <si>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</si>
  <si>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</si>
  <si>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</si>
  <si>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</si>
  <si>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</si>
  <si>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</si>
  <si>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</si>
  <si>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</si>
  <si>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</si>
  <si>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</si>
  <si>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2445441.7110 </t>
  </si>
  <si>
    <t> 17.04.1983 05:03 </t>
  </si>
  <si>
    <t> 0.0000 </t>
  </si>
  <si>
    <t>E </t>
  </si>
  <si>
    <t>?</t>
  </si>
  <si>
    <t> Schmidt &amp; Fernie </t>
  </si>
  <si>
    <t>IBVS 2527 </t>
  </si>
  <si>
    <t>2445441.713 </t>
  </si>
  <si>
    <t> 17.04.1983 05:06 </t>
  </si>
  <si>
    <t> 0.002 </t>
  </si>
  <si>
    <t> Mochnacki et al. </t>
  </si>
  <si>
    <t> AJ 91.1221 </t>
  </si>
  <si>
    <t>2446178.4990 </t>
  </si>
  <si>
    <t> 22.04.1985 23:58 </t>
  </si>
  <si>
    <t> -0.0007 </t>
  </si>
  <si>
    <t> E.Poretti et al. </t>
  </si>
  <si>
    <t> AAPS 69.338 </t>
  </si>
  <si>
    <t>2446185.4826 </t>
  </si>
  <si>
    <t> 29.04.1985 23:34 </t>
  </si>
  <si>
    <t> 0.0028 </t>
  </si>
  <si>
    <t>2446565.1126 </t>
  </si>
  <si>
    <t> 14.05.1986 14:42 </t>
  </si>
  <si>
    <t> -0.0072 </t>
  </si>
  <si>
    <t> L.Xuefu et al. </t>
  </si>
  <si>
    <t>IBVS 3491 </t>
  </si>
  <si>
    <t>2446863.3214 </t>
  </si>
  <si>
    <t> 08.03.1987 19:42 </t>
  </si>
  <si>
    <t> -0.0039 </t>
  </si>
  <si>
    <t>2447322.469 </t>
  </si>
  <si>
    <t> 09.06.1988 23:15 </t>
  </si>
  <si>
    <t> 0.008 </t>
  </si>
  <si>
    <t>V </t>
  </si>
  <si>
    <t> M.Martignoni </t>
  </si>
  <si>
    <t> BBS 109 </t>
  </si>
  <si>
    <t>2447609.421 </t>
  </si>
  <si>
    <t> 23.03.1989 22:06 </t>
  </si>
  <si>
    <t> 0.000 </t>
  </si>
  <si>
    <t> BBS 129 </t>
  </si>
  <si>
    <t>2447954.544 </t>
  </si>
  <si>
    <t> 04.03.1990 01:03 </t>
  </si>
  <si>
    <t> -0.004 </t>
  </si>
  <si>
    <t> F.Acerbi </t>
  </si>
  <si>
    <t> BBS 94 </t>
  </si>
  <si>
    <t>2448010.403 </t>
  </si>
  <si>
    <t> 28.04.1990 21:40 </t>
  </si>
  <si>
    <t> 0.014 </t>
  </si>
  <si>
    <t> BBS 95 </t>
  </si>
  <si>
    <t>2450573.645 </t>
  </si>
  <si>
    <t> 05.05.1997 03:28 </t>
  </si>
  <si>
    <t> 0.007 </t>
  </si>
  <si>
    <t> S.Cook </t>
  </si>
  <si>
    <t> JAAVSO 41;122 </t>
  </si>
  <si>
    <t>2453510.6967 </t>
  </si>
  <si>
    <t> 20.05.2005 04:43 </t>
  </si>
  <si>
    <t> -0.0134 </t>
  </si>
  <si>
    <t> T. Krajci </t>
  </si>
  <si>
    <t>IBVS 5690 </t>
  </si>
  <si>
    <t>2454153.2691 </t>
  </si>
  <si>
    <t> 21.02.2007 18:27 </t>
  </si>
  <si>
    <t> 0.0018 </t>
  </si>
  <si>
    <t>C </t>
  </si>
  <si>
    <t> K.Nakajima </t>
  </si>
  <si>
    <t>VSB 46 </t>
  </si>
  <si>
    <t>2454194.7473 </t>
  </si>
  <si>
    <t> 04.04.2007 05:56 </t>
  </si>
  <si>
    <t> -0.0129 </t>
  </si>
  <si>
    <t>o</t>
  </si>
  <si>
    <t> T.Krajci </t>
  </si>
  <si>
    <t>IBVS 5806 </t>
  </si>
  <si>
    <t>2456013.41253 </t>
  </si>
  <si>
    <t> 26.03.2012 21:54 </t>
  </si>
  <si>
    <t> -0.05225 </t>
  </si>
  <si>
    <t> F.Walter </t>
  </si>
  <si>
    <t>OEJV 0160 </t>
  </si>
  <si>
    <t>BAD?</t>
  </si>
  <si>
    <t>OEJV 0181</t>
  </si>
  <si>
    <t>IBVS 5806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</si>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</sst>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11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10" xfId="0" applyFont="1" applyBorder="1" applyAlignment="1">
      <alignment horizontal="center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9" fillId="0" borderId="0" xfId="42" applyFont="1" applyAlignment="1">
      <alignment horizontal="left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5" fillId="0" borderId="0" xfId="0" applyFont="1" applyAlignment="1"/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FO Vir - O-C Diagr.</a:t>
            </a:r>
          </a:p>
        </c:rich>
      </c:tx>
      <c:layout>
        <c:manualLayout>
          <c:xMode val="edge"/>
          <c:yMode val="edge"/>
          <c:x val="0.396848137535816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50716332378223"/>
          <c:y val="0.14723926380368099"/>
          <c:w val="0.8295128939828080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F8-4EE2-B4E7-88550FB121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2.0000000004074536E-3</c:v>
                </c:pt>
                <c:pt idx="6">
                  <c:v>8.0249999955412932E-3</c:v>
                </c:pt>
                <c:pt idx="7">
                  <c:v>2.3499999952036887E-4</c:v>
                </c:pt>
                <c:pt idx="8">
                  <c:v>-4.0799999987939373E-3</c:v>
                </c:pt>
                <c:pt idx="9">
                  <c:v>1.4095999991695862E-2</c:v>
                </c:pt>
                <c:pt idx="10">
                  <c:v>7.1609999940847047E-3</c:v>
                </c:pt>
                <c:pt idx="17">
                  <c:v>-2.4302999998326413E-2</c:v>
                </c:pt>
                <c:pt idx="18">
                  <c:v>-3.789350000442937E-2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F8-4EE2-B4E7-88550FB121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-6.5000000176951289E-4</c:v>
                </c:pt>
                <c:pt idx="3">
                  <c:v>2.8470000033848919E-3</c:v>
                </c:pt>
                <c:pt idx="4">
                  <c:v>-7.1995000034803525E-3</c:v>
                </c:pt>
                <c:pt idx="5">
                  <c:v>-3.9109999997890554E-3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F8-4EE2-B4E7-88550FB121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1">
                  <c:v>-1.3367999999900348E-2</c:v>
                </c:pt>
                <c:pt idx="12">
                  <c:v>1.7724999925121665E-3</c:v>
                </c:pt>
                <c:pt idx="13">
                  <c:v>-1.2862000003224239E-2</c:v>
                </c:pt>
                <c:pt idx="14">
                  <c:v>-5.2246999999624677E-2</c:v>
                </c:pt>
                <c:pt idx="15">
                  <c:v>0</c:v>
                </c:pt>
                <c:pt idx="16">
                  <c:v>-2.5415000003704336E-2</c:v>
                </c:pt>
                <c:pt idx="19">
                  <c:v>-2.6824999840755481E-2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F8-4EE2-B4E7-88550FB121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F8-4EE2-B4E7-88550FB121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F8-4EE2-B4E7-88550FB121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F8-4EE2-B4E7-88550FB121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5.7349342703865349E-3</c:v>
                </c:pt>
                <c:pt idx="1">
                  <c:v>5.7349342703865349E-3</c:v>
                </c:pt>
                <c:pt idx="2">
                  <c:v>3.7434422384239417E-3</c:v>
                </c:pt>
                <c:pt idx="3">
                  <c:v>3.7245754718053491E-3</c:v>
                </c:pt>
                <c:pt idx="4">
                  <c:v>2.698432998494097E-3</c:v>
                </c:pt>
                <c:pt idx="5">
                  <c:v>1.8924028023997634E-3</c:v>
                </c:pt>
                <c:pt idx="6">
                  <c:v>6.5138882037675799E-4</c:v>
                </c:pt>
                <c:pt idx="7">
                  <c:v>-1.2424491838762021E-4</c:v>
                </c:pt>
                <c:pt idx="8">
                  <c:v>-1.0571017123069404E-3</c:v>
                </c:pt>
                <c:pt idx="9">
                  <c:v>-1.2080358452556846E-3</c:v>
                </c:pt>
                <c:pt idx="10">
                  <c:v>-8.1363318090834427E-3</c:v>
                </c:pt>
                <c:pt idx="11">
                  <c:v>-1.6075047940706959E-2</c:v>
                </c:pt>
                <c:pt idx="12">
                  <c:v>-1.7811838623318546E-2</c:v>
                </c:pt>
                <c:pt idx="13">
                  <c:v>-1.792399106932907E-2</c:v>
                </c:pt>
                <c:pt idx="14">
                  <c:v>-2.2839831927173579E-2</c:v>
                </c:pt>
                <c:pt idx="15">
                  <c:v>-2.4767386583373158E-2</c:v>
                </c:pt>
                <c:pt idx="16">
                  <c:v>-2.4818746114723775E-2</c:v>
                </c:pt>
                <c:pt idx="17">
                  <c:v>-2.69863279684599E-2</c:v>
                </c:pt>
                <c:pt idx="18">
                  <c:v>-2.7869921538430674E-2</c:v>
                </c:pt>
                <c:pt idx="19">
                  <c:v>-3.1946191281747791E-2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F8-4EE2-B4E7-88550FB121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5">
                  <c:v>6.2576499993156176E-2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F8-4EE2-B4E7-88550FB12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32976"/>
        <c:axId val="1"/>
      </c:scatterChart>
      <c:valAx>
        <c:axId val="1024432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553008595988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277936962750719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32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87106017191978"/>
          <c:y val="0.92024539877300615"/>
          <c:w val="0.6891117478510028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438150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1DF005-05B6-50BA-4F8C-16E4C7414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3491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3491" TargetMode="External"/><Relationship Id="rId1" Type="http://schemas.openxmlformats.org/officeDocument/2006/relationships/hyperlink" Target="http://www.konkoly.hu/cgi-bin/IBVS?2527" TargetMode="External"/><Relationship Id="rId6" Type="http://schemas.openxmlformats.org/officeDocument/2006/relationships/hyperlink" Target="http://www.konkoly.hu/cgi-bin/IBVS?5806" TargetMode="External"/><Relationship Id="rId5" Type="http://schemas.openxmlformats.org/officeDocument/2006/relationships/hyperlink" Target="http://vsolj.cetus-net.org/no46.pdf" TargetMode="External"/><Relationship Id="rId4" Type="http://schemas.openxmlformats.org/officeDocument/2006/relationships/hyperlink" Target="http://www.konkoly.hu/cgi-bin/IBVS?56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64"/>
  <sheetViews>
    <sheetView tabSelected="1" workbookViewId="0">
      <selection activeCell="E12" sqref="E12"/>
    </sheetView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38</v>
      </c>
    </row>
    <row r="2" spans="1:6">
      <c r="A2" t="s">
        <v>25</v>
      </c>
      <c r="B2" s="10" t="s">
        <v>37</v>
      </c>
    </row>
    <row r="3" spans="1:6" ht="13.5" thickBot="1"/>
    <row r="4" spans="1:6" ht="14.25" thickTop="1" thickBot="1">
      <c r="A4" s="7" t="s">
        <v>1</v>
      </c>
      <c r="C4" s="3">
        <v>45441.711000000003</v>
      </c>
      <c r="D4" s="4">
        <v>0.77556700000000001</v>
      </c>
    </row>
    <row r="5" spans="1:6" ht="13.5" thickTop="1">
      <c r="A5" s="15" t="s">
        <v>41</v>
      </c>
      <c r="B5" s="16"/>
      <c r="C5" s="17">
        <v>-9.5</v>
      </c>
      <c r="D5" s="16" t="s">
        <v>42</v>
      </c>
    </row>
    <row r="6" spans="1:6">
      <c r="A6" s="7" t="s">
        <v>2</v>
      </c>
    </row>
    <row r="7" spans="1:6">
      <c r="A7" t="s">
        <v>3</v>
      </c>
      <c r="C7">
        <f>+C4</f>
        <v>45441.711000000003</v>
      </c>
    </row>
    <row r="8" spans="1:6">
      <c r="A8" t="s">
        <v>4</v>
      </c>
      <c r="C8">
        <f>+D4</f>
        <v>0.77556700000000001</v>
      </c>
    </row>
    <row r="9" spans="1:6">
      <c r="A9" s="30" t="s">
        <v>46</v>
      </c>
      <c r="B9" s="31">
        <v>21</v>
      </c>
      <c r="C9" s="19" t="str">
        <f>"F"&amp;B9</f>
        <v>F21</v>
      </c>
      <c r="D9" s="20" t="str">
        <f>"G"&amp;B9</f>
        <v>G21</v>
      </c>
    </row>
    <row r="10" spans="1:6" ht="13.5" thickBot="1">
      <c r="A10" s="16"/>
      <c r="B10" s="16"/>
      <c r="C10" s="6" t="s">
        <v>21</v>
      </c>
      <c r="D10" s="6" t="s">
        <v>22</v>
      </c>
      <c r="E10" s="16"/>
    </row>
    <row r="11" spans="1:6">
      <c r="A11" s="16" t="s">
        <v>17</v>
      </c>
      <c r="B11" s="16"/>
      <c r="C11" s="18">
        <f ca="1">INTERCEPT(INDIRECT($D$9):G992,INDIRECT($C$9):F992)</f>
        <v>5.7349342703865349E-3</v>
      </c>
      <c r="D11" s="5"/>
      <c r="E11" s="16"/>
    </row>
    <row r="12" spans="1:6">
      <c r="A12" s="16" t="s">
        <v>18</v>
      </c>
      <c r="B12" s="16"/>
      <c r="C12" s="18">
        <f ca="1">SLOPE(INDIRECT($D$9):G992,INDIRECT($C$9):F992)</f>
        <v>-2.0963074020658874E-6</v>
      </c>
      <c r="D12" s="5"/>
      <c r="E12" s="16"/>
    </row>
    <row r="13" spans="1:6">
      <c r="A13" s="16" t="s">
        <v>20</v>
      </c>
      <c r="B13" s="16"/>
      <c r="C13" s="5" t="s">
        <v>15</v>
      </c>
    </row>
    <row r="14" spans="1:6">
      <c r="A14" s="16"/>
      <c r="B14" s="16"/>
      <c r="C14" s="16"/>
    </row>
    <row r="15" spans="1:6">
      <c r="A15" s="21" t="s">
        <v>19</v>
      </c>
      <c r="B15" s="16"/>
      <c r="C15" s="22">
        <f ca="1">(C7+C11)+(C8+C12)*INT(MAX(F21:F3533))</f>
        <v>59382.495878808717</v>
      </c>
      <c r="E15" s="23" t="s">
        <v>47</v>
      </c>
      <c r="F15" s="17">
        <v>1</v>
      </c>
    </row>
    <row r="16" spans="1:6">
      <c r="A16" s="25" t="s">
        <v>5</v>
      </c>
      <c r="B16" s="16"/>
      <c r="C16" s="26">
        <f ca="1">+C8+C12</f>
        <v>0.7755649036925979</v>
      </c>
      <c r="E16" s="23" t="s">
        <v>43</v>
      </c>
      <c r="F16" s="24">
        <f ca="1">NOW()+15018.5+$C$5/24</f>
        <v>59969.857418865737</v>
      </c>
    </row>
    <row r="17" spans="1:24" ht="13.5" thickBot="1">
      <c r="A17" s="23" t="s">
        <v>40</v>
      </c>
      <c r="B17" s="16"/>
      <c r="C17" s="16">
        <f>COUNT(C21:C2191)</f>
        <v>20</v>
      </c>
      <c r="E17" s="23" t="s">
        <v>48</v>
      </c>
      <c r="F17" s="24">
        <f ca="1">ROUND(2*(F16-$C$7)/$C$8,0)/2+F15</f>
        <v>18733.5</v>
      </c>
    </row>
    <row r="18" spans="1:24" ht="14.25" thickTop="1" thickBot="1">
      <c r="A18" s="25" t="s">
        <v>6</v>
      </c>
      <c r="B18" s="16"/>
      <c r="C18" s="28">
        <f ca="1">+C15</f>
        <v>59382.495878808717</v>
      </c>
      <c r="D18" s="29">
        <f ca="1">+C16</f>
        <v>0.7755649036925979</v>
      </c>
      <c r="E18" s="23" t="s">
        <v>44</v>
      </c>
      <c r="F18" s="20">
        <f ca="1">ROUND(2*(F16-$C$15)/$C$16,0)/2+F15</f>
        <v>758.5</v>
      </c>
    </row>
    <row r="19" spans="1:24" ht="13.5" thickTop="1">
      <c r="E19" s="23" t="s">
        <v>45</v>
      </c>
      <c r="F19" s="27">
        <f ca="1">+$C$15+$C$16*F18-15018.5-$C$5/24</f>
        <v>44952.657691592889</v>
      </c>
    </row>
    <row r="20" spans="1:24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61</v>
      </c>
      <c r="I20" s="9" t="s">
        <v>52</v>
      </c>
      <c r="J20" s="9" t="s">
        <v>58</v>
      </c>
      <c r="K20" s="9" t="s">
        <v>56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  <c r="U20" s="52" t="s">
        <v>138</v>
      </c>
    </row>
    <row r="21" spans="1:24">
      <c r="A21" t="s">
        <v>13</v>
      </c>
      <c r="C21" s="14">
        <v>45441.711000000003</v>
      </c>
      <c r="D21" s="14" t="s">
        <v>15</v>
      </c>
      <c r="E21">
        <f t="shared" ref="E21:E38" si="0">+(C21-C$7)/C$8</f>
        <v>0</v>
      </c>
      <c r="F21">
        <f t="shared" ref="F21:F39" si="1">ROUND(2*E21,0)/2</f>
        <v>0</v>
      </c>
      <c r="G21">
        <f t="shared" ref="G21:G35" si="2">+C21-(C$7+F21*C$8)</f>
        <v>0</v>
      </c>
      <c r="H21">
        <f>+G21</f>
        <v>0</v>
      </c>
      <c r="O21">
        <f t="shared" ref="O21:O38" ca="1" si="3">+C$11+C$12*F21</f>
        <v>5.7349342703865349E-3</v>
      </c>
      <c r="Q21" s="2">
        <f t="shared" ref="Q21:Q38" si="4">+C21-15018.5</f>
        <v>30423.211000000003</v>
      </c>
    </row>
    <row r="22" spans="1:24">
      <c r="A22" s="49" t="s">
        <v>75</v>
      </c>
      <c r="B22" s="50" t="s">
        <v>34</v>
      </c>
      <c r="C22" s="51">
        <v>45441.713000000003</v>
      </c>
      <c r="D22" s="14"/>
      <c r="E22">
        <f t="shared" si="0"/>
        <v>2.5787585088167153E-3</v>
      </c>
      <c r="F22">
        <f t="shared" si="1"/>
        <v>0</v>
      </c>
      <c r="G22">
        <f t="shared" si="2"/>
        <v>2.0000000004074536E-3</v>
      </c>
      <c r="I22">
        <f>+G22</f>
        <v>2.0000000004074536E-3</v>
      </c>
      <c r="O22">
        <f t="shared" ca="1" si="3"/>
        <v>5.7349342703865349E-3</v>
      </c>
      <c r="Q22" s="2">
        <f t="shared" si="4"/>
        <v>30423.213000000003</v>
      </c>
    </row>
    <row r="23" spans="1:24">
      <c r="A23" t="s">
        <v>35</v>
      </c>
      <c r="C23" s="14">
        <v>46178.499000000003</v>
      </c>
      <c r="D23" s="14">
        <v>6.9999999999999999E-4</v>
      </c>
      <c r="E23">
        <f t="shared" si="0"/>
        <v>949.9991619034854</v>
      </c>
      <c r="F23">
        <f t="shared" si="1"/>
        <v>950</v>
      </c>
      <c r="G23">
        <f t="shared" si="2"/>
        <v>-6.5000000176951289E-4</v>
      </c>
      <c r="J23">
        <f>+G23</f>
        <v>-6.5000000176951289E-4</v>
      </c>
      <c r="O23">
        <f t="shared" ca="1" si="3"/>
        <v>3.7434422384239417E-3</v>
      </c>
      <c r="Q23" s="2">
        <f t="shared" si="4"/>
        <v>31159.999000000003</v>
      </c>
    </row>
    <row r="24" spans="1:24">
      <c r="A24" t="s">
        <v>35</v>
      </c>
      <c r="C24" s="14">
        <v>46185.482600000003</v>
      </c>
      <c r="D24" s="14">
        <v>4.0000000000000002E-4</v>
      </c>
      <c r="E24">
        <f t="shared" si="0"/>
        <v>959.00367086273661</v>
      </c>
      <c r="F24">
        <f t="shared" si="1"/>
        <v>959</v>
      </c>
      <c r="G24">
        <f t="shared" si="2"/>
        <v>2.8470000033848919E-3</v>
      </c>
      <c r="J24">
        <f>+G24</f>
        <v>2.8470000033848919E-3</v>
      </c>
      <c r="O24">
        <f t="shared" ca="1" si="3"/>
        <v>3.7245754718053491E-3</v>
      </c>
      <c r="Q24" s="2">
        <f t="shared" si="4"/>
        <v>31166.982600000003</v>
      </c>
      <c r="X24" t="s">
        <v>36</v>
      </c>
    </row>
    <row r="25" spans="1:24">
      <c r="A25" t="s">
        <v>32</v>
      </c>
      <c r="B25" s="5" t="s">
        <v>33</v>
      </c>
      <c r="C25" s="14">
        <v>46565.1126</v>
      </c>
      <c r="D25" s="14"/>
      <c r="E25">
        <f t="shared" si="0"/>
        <v>1448.4907171140565</v>
      </c>
      <c r="F25">
        <f t="shared" si="1"/>
        <v>1448.5</v>
      </c>
      <c r="G25">
        <f t="shared" si="2"/>
        <v>-7.1995000034803525E-3</v>
      </c>
      <c r="J25">
        <f>+G25</f>
        <v>-7.1995000034803525E-3</v>
      </c>
      <c r="O25">
        <f t="shared" ca="1" si="3"/>
        <v>2.698432998494097E-3</v>
      </c>
      <c r="Q25" s="2">
        <f t="shared" si="4"/>
        <v>31546.6126</v>
      </c>
    </row>
    <row r="26" spans="1:24">
      <c r="A26" t="s">
        <v>32</v>
      </c>
      <c r="B26" s="5" t="s">
        <v>34</v>
      </c>
      <c r="C26" s="14">
        <v>46863.321400000001</v>
      </c>
      <c r="D26" s="14"/>
      <c r="E26">
        <f t="shared" si="0"/>
        <v>1832.9949572377341</v>
      </c>
      <c r="F26">
        <f t="shared" si="1"/>
        <v>1833</v>
      </c>
      <c r="G26">
        <f t="shared" si="2"/>
        <v>-3.9109999997890554E-3</v>
      </c>
      <c r="J26">
        <f>+G26</f>
        <v>-3.9109999997890554E-3</v>
      </c>
      <c r="O26">
        <f t="shared" ca="1" si="3"/>
        <v>1.8924028023997634E-3</v>
      </c>
      <c r="Q26" s="2">
        <f t="shared" si="4"/>
        <v>31844.821400000001</v>
      </c>
    </row>
    <row r="27" spans="1:24">
      <c r="A27" t="s">
        <v>29</v>
      </c>
      <c r="C27" s="14">
        <v>47322.468999999997</v>
      </c>
      <c r="D27" s="14">
        <v>2E-3</v>
      </c>
      <c r="E27">
        <f t="shared" si="0"/>
        <v>2425.0103472685073</v>
      </c>
      <c r="F27">
        <f t="shared" si="1"/>
        <v>2425</v>
      </c>
      <c r="G27">
        <f t="shared" si="2"/>
        <v>8.0249999955412932E-3</v>
      </c>
      <c r="I27">
        <f>+G27</f>
        <v>8.0249999955412932E-3</v>
      </c>
      <c r="O27">
        <f t="shared" ca="1" si="3"/>
        <v>6.5138882037675799E-4</v>
      </c>
      <c r="Q27" s="2">
        <f t="shared" si="4"/>
        <v>32303.968999999997</v>
      </c>
    </row>
    <row r="28" spans="1:24">
      <c r="A28" s="11" t="s">
        <v>39</v>
      </c>
      <c r="B28" s="12" t="s">
        <v>34</v>
      </c>
      <c r="C28" s="13">
        <v>47609.421000000002</v>
      </c>
      <c r="D28" s="13">
        <v>4.0000000000000001E-3</v>
      </c>
      <c r="E28">
        <f t="shared" si="0"/>
        <v>2795.0003030041235</v>
      </c>
      <c r="F28">
        <f t="shared" si="1"/>
        <v>2795</v>
      </c>
      <c r="G28">
        <f t="shared" si="2"/>
        <v>2.3499999952036887E-4</v>
      </c>
      <c r="I28">
        <f>+G28</f>
        <v>2.3499999952036887E-4</v>
      </c>
      <c r="O28">
        <f t="shared" ca="1" si="3"/>
        <v>-1.2424491838762021E-4</v>
      </c>
      <c r="Q28" s="2">
        <f t="shared" si="4"/>
        <v>32590.921000000002</v>
      </c>
    </row>
    <row r="29" spans="1:24">
      <c r="A29" t="s">
        <v>30</v>
      </c>
      <c r="C29" s="14">
        <v>47954.544000000002</v>
      </c>
      <c r="D29" s="14"/>
      <c r="E29">
        <f t="shared" si="0"/>
        <v>3239.9947393326415</v>
      </c>
      <c r="F29">
        <f t="shared" si="1"/>
        <v>3240</v>
      </c>
      <c r="G29">
        <f t="shared" si="2"/>
        <v>-4.0799999987939373E-3</v>
      </c>
      <c r="I29">
        <f>+G29</f>
        <v>-4.0799999987939373E-3</v>
      </c>
      <c r="O29">
        <f t="shared" ca="1" si="3"/>
        <v>-1.0571017123069404E-3</v>
      </c>
      <c r="Q29" s="2">
        <f t="shared" si="4"/>
        <v>32936.044000000002</v>
      </c>
    </row>
    <row r="30" spans="1:24">
      <c r="A30" s="61" t="s">
        <v>31</v>
      </c>
      <c r="B30" s="58"/>
      <c r="C30" s="13">
        <v>48010.402999999998</v>
      </c>
      <c r="D30" s="14"/>
      <c r="E30">
        <f t="shared" si="0"/>
        <v>3312.0181750899606</v>
      </c>
      <c r="F30">
        <f t="shared" si="1"/>
        <v>3312</v>
      </c>
      <c r="G30">
        <f t="shared" si="2"/>
        <v>1.4095999991695862E-2</v>
      </c>
      <c r="I30">
        <f>+G30</f>
        <v>1.4095999991695862E-2</v>
      </c>
      <c r="O30">
        <f t="shared" ca="1" si="3"/>
        <v>-1.2080358452556846E-3</v>
      </c>
      <c r="Q30" s="2">
        <f t="shared" si="4"/>
        <v>32991.902999999998</v>
      </c>
    </row>
    <row r="31" spans="1:24">
      <c r="A31" s="57" t="s">
        <v>50</v>
      </c>
      <c r="B31" s="58"/>
      <c r="C31" s="59">
        <v>50573.644999999997</v>
      </c>
      <c r="D31" s="34"/>
      <c r="E31">
        <f t="shared" si="0"/>
        <v>6617.0092332448312</v>
      </c>
      <c r="F31">
        <f t="shared" si="1"/>
        <v>6617</v>
      </c>
      <c r="G31">
        <f t="shared" si="2"/>
        <v>7.1609999940847047E-3</v>
      </c>
      <c r="I31">
        <f>+G31</f>
        <v>7.1609999940847047E-3</v>
      </c>
      <c r="O31">
        <f t="shared" ca="1" si="3"/>
        <v>-8.1363318090834427E-3</v>
      </c>
      <c r="Q31" s="2">
        <f t="shared" si="4"/>
        <v>35555.144999999997</v>
      </c>
    </row>
    <row r="32" spans="1:24">
      <c r="A32" s="32" t="s">
        <v>49</v>
      </c>
      <c r="B32" s="33" t="s">
        <v>34</v>
      </c>
      <c r="C32" s="32">
        <v>53510.6967</v>
      </c>
      <c r="D32" s="32">
        <v>5.9999999999999995E-4</v>
      </c>
      <c r="E32">
        <f t="shared" si="0"/>
        <v>10403.982763578128</v>
      </c>
      <c r="F32">
        <f t="shared" si="1"/>
        <v>10404</v>
      </c>
      <c r="G32">
        <f t="shared" si="2"/>
        <v>-1.3367999999900348E-2</v>
      </c>
      <c r="K32">
        <f t="shared" ref="K32:K37" si="5">+G32</f>
        <v>-1.3367999999900348E-2</v>
      </c>
      <c r="O32">
        <f t="shared" ca="1" si="3"/>
        <v>-1.6075047940706959E-2</v>
      </c>
      <c r="Q32" s="2">
        <f t="shared" si="4"/>
        <v>38492.1967</v>
      </c>
    </row>
    <row r="33" spans="1:21">
      <c r="A33" s="49" t="s">
        <v>126</v>
      </c>
      <c r="B33" s="50" t="s">
        <v>33</v>
      </c>
      <c r="C33" s="51">
        <v>54153.269099999998</v>
      </c>
      <c r="D33" s="14"/>
      <c r="E33">
        <f t="shared" si="0"/>
        <v>11232.502285424722</v>
      </c>
      <c r="F33">
        <f t="shared" si="1"/>
        <v>11232.5</v>
      </c>
      <c r="G33">
        <f t="shared" si="2"/>
        <v>1.7724999925121665E-3</v>
      </c>
      <c r="K33">
        <f t="shared" si="5"/>
        <v>1.7724999925121665E-3</v>
      </c>
      <c r="O33">
        <f t="shared" ca="1" si="3"/>
        <v>-1.7811838623318546E-2</v>
      </c>
      <c r="Q33" s="2">
        <f t="shared" si="4"/>
        <v>39134.769099999998</v>
      </c>
    </row>
    <row r="34" spans="1:21">
      <c r="A34" s="49" t="s">
        <v>140</v>
      </c>
      <c r="B34" s="50" t="s">
        <v>34</v>
      </c>
      <c r="C34" s="51">
        <v>54194.747300000003</v>
      </c>
      <c r="D34" s="14"/>
      <c r="E34">
        <f t="shared" si="0"/>
        <v>11285.983416004034</v>
      </c>
      <c r="F34">
        <f t="shared" si="1"/>
        <v>11286</v>
      </c>
      <c r="G34">
        <f t="shared" si="2"/>
        <v>-1.2862000003224239E-2</v>
      </c>
      <c r="K34">
        <f t="shared" si="5"/>
        <v>-1.2862000003224239E-2</v>
      </c>
      <c r="O34">
        <f t="shared" ca="1" si="3"/>
        <v>-1.792399106932907E-2</v>
      </c>
      <c r="Q34" s="2">
        <f t="shared" si="4"/>
        <v>39176.247300000003</v>
      </c>
    </row>
    <row r="35" spans="1:21">
      <c r="A35" s="57" t="s">
        <v>51</v>
      </c>
      <c r="B35" s="58" t="s">
        <v>34</v>
      </c>
      <c r="C35" s="59">
        <v>56013.412530000001</v>
      </c>
      <c r="D35" s="59">
        <v>3.0599999999999999E-2</v>
      </c>
      <c r="E35">
        <f t="shared" si="0"/>
        <v>13630.932633802107</v>
      </c>
      <c r="F35">
        <f t="shared" si="1"/>
        <v>13631</v>
      </c>
      <c r="G35">
        <f t="shared" si="2"/>
        <v>-5.2246999999624677E-2</v>
      </c>
      <c r="K35">
        <f t="shared" si="5"/>
        <v>-5.2246999999624677E-2</v>
      </c>
      <c r="O35">
        <f t="shared" ca="1" si="3"/>
        <v>-2.2839831927173579E-2</v>
      </c>
      <c r="Q35" s="2">
        <f t="shared" si="4"/>
        <v>40994.912530000001</v>
      </c>
    </row>
    <row r="36" spans="1:21">
      <c r="A36" s="59" t="s">
        <v>53</v>
      </c>
      <c r="B36" s="58" t="s">
        <v>34</v>
      </c>
      <c r="C36" s="60">
        <v>56726.661209999998</v>
      </c>
      <c r="D36" s="59">
        <v>2.9999999999999997E-4</v>
      </c>
      <c r="E36">
        <f t="shared" si="0"/>
        <v>14550.58068484089</v>
      </c>
      <c r="F36">
        <f t="shared" si="1"/>
        <v>14550.5</v>
      </c>
      <c r="K36">
        <f t="shared" si="5"/>
        <v>0</v>
      </c>
      <c r="O36">
        <f t="shared" ca="1" si="3"/>
        <v>-2.4767386583373158E-2</v>
      </c>
      <c r="Q36" s="2">
        <f t="shared" si="4"/>
        <v>41708.161209999998</v>
      </c>
      <c r="U36">
        <f>+C36-(C$7+F36*C$8)</f>
        <v>6.2576499993156176E-2</v>
      </c>
    </row>
    <row r="37" spans="1:21">
      <c r="A37" s="59" t="s">
        <v>53</v>
      </c>
      <c r="B37" s="58" t="s">
        <v>34</v>
      </c>
      <c r="C37" s="60">
        <v>56745.574610000003</v>
      </c>
      <c r="D37" s="59">
        <v>1.6000000000000001E-3</v>
      </c>
      <c r="E37">
        <f t="shared" si="0"/>
        <v>14574.967230426257</v>
      </c>
      <c r="F37">
        <f t="shared" si="1"/>
        <v>14575</v>
      </c>
      <c r="G37">
        <f>+C37-(C$7+F37*C$8)</f>
        <v>-2.5415000003704336E-2</v>
      </c>
      <c r="K37">
        <f t="shared" si="5"/>
        <v>-2.5415000003704336E-2</v>
      </c>
      <c r="O37">
        <f t="shared" ca="1" si="3"/>
        <v>-2.4818746114723775E-2</v>
      </c>
      <c r="Q37" s="2">
        <f t="shared" si="4"/>
        <v>41727.074610000003</v>
      </c>
    </row>
    <row r="38" spans="1:21">
      <c r="A38" s="53" t="s">
        <v>139</v>
      </c>
      <c r="B38" s="54" t="s">
        <v>34</v>
      </c>
      <c r="C38" s="55">
        <v>57547.512000000002</v>
      </c>
      <c r="D38" s="56">
        <v>0.01</v>
      </c>
      <c r="E38">
        <f t="shared" si="0"/>
        <v>15608.968664215985</v>
      </c>
      <c r="F38">
        <f t="shared" si="1"/>
        <v>15609</v>
      </c>
      <c r="G38">
        <f>+C38-(C$7+F38*C$8)</f>
        <v>-2.4302999998326413E-2</v>
      </c>
      <c r="I38">
        <f>+G38</f>
        <v>-2.4302999998326413E-2</v>
      </c>
      <c r="O38">
        <f t="shared" ca="1" si="3"/>
        <v>-2.69863279684599E-2</v>
      </c>
      <c r="Q38" s="2">
        <f t="shared" si="4"/>
        <v>42529.012000000002</v>
      </c>
    </row>
    <row r="39" spans="1:21">
      <c r="A39" s="62" t="s">
        <v>0</v>
      </c>
      <c r="B39" s="63" t="s">
        <v>34</v>
      </c>
      <c r="C39" s="64">
        <v>57874.399899999997</v>
      </c>
      <c r="D39" s="64">
        <v>4.0000000000000001E-3</v>
      </c>
      <c r="E39">
        <f>+(C39-C$7)/C$8</f>
        <v>16030.451140907226</v>
      </c>
      <c r="F39">
        <f t="shared" si="1"/>
        <v>16030.5</v>
      </c>
      <c r="G39">
        <f>+C39-(C$7+F39*C$8)</f>
        <v>-3.789350000442937E-2</v>
      </c>
      <c r="I39">
        <f>+G39</f>
        <v>-3.789350000442937E-2</v>
      </c>
      <c r="O39">
        <f ca="1">+C$11+C$12*F39</f>
        <v>-2.7869921538430674E-2</v>
      </c>
      <c r="Q39" s="2">
        <f>+C39-15018.5</f>
        <v>42855.899899999997</v>
      </c>
    </row>
    <row r="40" spans="1:21">
      <c r="A40" s="65" t="s">
        <v>141</v>
      </c>
      <c r="B40" s="66" t="s">
        <v>34</v>
      </c>
      <c r="C40" s="67">
        <v>59382.501000000164</v>
      </c>
      <c r="D40" s="65">
        <v>0.01</v>
      </c>
      <c r="E40">
        <f>+(C40-C$7)/C$8</f>
        <v>17974.965412401714</v>
      </c>
      <c r="F40">
        <f t="shared" ref="F40" si="6">ROUND(2*E40,0)/2</f>
        <v>17975</v>
      </c>
      <c r="G40">
        <f>+C40-(C$7+F40*C$8)</f>
        <v>-2.6824999840755481E-2</v>
      </c>
      <c r="K40">
        <f>+G40</f>
        <v>-2.6824999840755481E-2</v>
      </c>
      <c r="O40">
        <f ca="1">+C$11+C$12*F40</f>
        <v>-3.1946191281747791E-2</v>
      </c>
      <c r="Q40" s="2">
        <f>+C40-15018.5</f>
        <v>44364.001000000164</v>
      </c>
    </row>
    <row r="41" spans="1:21">
      <c r="C41" s="14"/>
      <c r="D41" s="14"/>
    </row>
    <row r="42" spans="1:21">
      <c r="C42" s="14"/>
      <c r="D42" s="14"/>
    </row>
    <row r="43" spans="1:21">
      <c r="C43" s="14"/>
      <c r="D43" s="14"/>
    </row>
    <row r="44" spans="1:21">
      <c r="C44" s="14"/>
      <c r="D44" s="14"/>
    </row>
    <row r="45" spans="1:21">
      <c r="C45" s="14"/>
      <c r="D45" s="14"/>
    </row>
    <row r="46" spans="1:21">
      <c r="C46" s="14"/>
      <c r="D46" s="14"/>
    </row>
    <row r="47" spans="1:21">
      <c r="C47" s="14"/>
      <c r="D47" s="14"/>
    </row>
    <row r="48" spans="1:21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  <row r="2539" spans="3:4">
      <c r="C2539" s="14"/>
      <c r="D2539" s="14"/>
    </row>
    <row r="2540" spans="3:4">
      <c r="C2540" s="14"/>
      <c r="D2540" s="14"/>
    </row>
    <row r="2541" spans="3:4">
      <c r="C2541" s="14"/>
      <c r="D2541" s="14"/>
    </row>
    <row r="2542" spans="3:4">
      <c r="C2542" s="14"/>
      <c r="D2542" s="14"/>
    </row>
    <row r="2543" spans="3:4">
      <c r="C2543" s="14"/>
      <c r="D2543" s="14"/>
    </row>
    <row r="2544" spans="3:4">
      <c r="C2544" s="14"/>
      <c r="D2544" s="14"/>
    </row>
    <row r="2545" spans="3:4">
      <c r="C2545" s="14"/>
      <c r="D2545" s="14"/>
    </row>
    <row r="2546" spans="3:4">
      <c r="C2546" s="14"/>
      <c r="D2546" s="14"/>
    </row>
    <row r="2547" spans="3:4">
      <c r="C2547" s="14"/>
      <c r="D2547" s="14"/>
    </row>
    <row r="2548" spans="3:4">
      <c r="C2548" s="14"/>
      <c r="D2548" s="14"/>
    </row>
    <row r="2549" spans="3:4">
      <c r="C2549" s="14"/>
      <c r="D2549" s="14"/>
    </row>
    <row r="2550" spans="3:4">
      <c r="C2550" s="14"/>
      <c r="D2550" s="14"/>
    </row>
    <row r="2551" spans="3:4">
      <c r="C2551" s="14"/>
      <c r="D2551" s="14"/>
    </row>
    <row r="2552" spans="3:4">
      <c r="C2552" s="14"/>
      <c r="D2552" s="14"/>
    </row>
    <row r="2553" spans="3:4">
      <c r="C2553" s="14"/>
      <c r="D2553" s="14"/>
    </row>
    <row r="2554" spans="3:4">
      <c r="C2554" s="14"/>
      <c r="D2554" s="14"/>
    </row>
    <row r="2555" spans="3:4">
      <c r="C2555" s="14"/>
      <c r="D2555" s="14"/>
    </row>
    <row r="2556" spans="3:4">
      <c r="C2556" s="14"/>
      <c r="D2556" s="14"/>
    </row>
    <row r="2557" spans="3:4">
      <c r="C2557" s="14"/>
      <c r="D2557" s="14"/>
    </row>
    <row r="2558" spans="3:4">
      <c r="C2558" s="14"/>
      <c r="D2558" s="14"/>
    </row>
    <row r="2559" spans="3:4">
      <c r="C2559" s="14"/>
      <c r="D2559" s="14"/>
    </row>
    <row r="2560" spans="3:4">
      <c r="C2560" s="14"/>
      <c r="D2560" s="14"/>
    </row>
    <row r="2561" spans="3:4">
      <c r="C2561" s="14"/>
      <c r="D2561" s="14"/>
    </row>
    <row r="2562" spans="3:4">
      <c r="C2562" s="14"/>
      <c r="D2562" s="14"/>
    </row>
    <row r="2563" spans="3:4">
      <c r="C2563" s="14"/>
      <c r="D2563" s="14"/>
    </row>
    <row r="2564" spans="3:4">
      <c r="C2564" s="14"/>
      <c r="D2564" s="14"/>
    </row>
  </sheetData>
  <phoneticPr fontId="7" type="noConversion"/>
  <hyperlinks>
    <hyperlink ref="H62184" r:id="rId1" display="http://vsolj.cetus-net.org/bulletin.html"/>
    <hyperlink ref="H62177" r:id="rId2" display="https://www.aavso.org/ejaavso"/>
    <hyperlink ref="I62184" r:id="rId3" display="http://vsolj.cetus-net.org/bulletin.html"/>
    <hyperlink ref="AQ55827" r:id="rId4" display="http://cdsbib.u-strasbg.fr/cgi-bin/cdsbib?1990RMxAA..21..381G"/>
    <hyperlink ref="H62181" r:id="rId5" display="https://www.aavso.org/ejaavso"/>
    <hyperlink ref="AP3191" r:id="rId6" display="http://cdsbib.u-strasbg.fr/cgi-bin/cdsbib?1990RMxAA..21..381G"/>
    <hyperlink ref="AP3194" r:id="rId7" display="http://cdsbib.u-strasbg.fr/cgi-bin/cdsbib?1990RMxAA..21..381G"/>
    <hyperlink ref="AP3192" r:id="rId8" display="http://cdsbib.u-strasbg.fr/cgi-bin/cdsbib?1990RMxAA..21..381G"/>
    <hyperlink ref="AP3176" r:id="rId9" display="http://cdsbib.u-strasbg.fr/cgi-bin/cdsbib?1990RMxAA..21..381G"/>
    <hyperlink ref="AQ3405" r:id="rId10" display="http://cdsbib.u-strasbg.fr/cgi-bin/cdsbib?1990RMxAA..21..381G"/>
    <hyperlink ref="AQ3409" r:id="rId11" display="http://cdsbib.u-strasbg.fr/cgi-bin/cdsbib?1990RMxAA..21..381G"/>
    <hyperlink ref="AQ63097" r:id="rId12" display="http://cdsbib.u-strasbg.fr/cgi-bin/cdsbib?1990RMxAA..21..381G"/>
    <hyperlink ref="I297" r:id="rId13" display="http://vsolj.cetus-net.org/bulletin.html"/>
    <hyperlink ref="H297" r:id="rId14" display="http://vsolj.cetus-net.org/bulletin.html"/>
    <hyperlink ref="AQ63758" r:id="rId15" display="http://cdsbib.u-strasbg.fr/cgi-bin/cdsbib?1990RMxAA..21..381G"/>
    <hyperlink ref="AQ63757" r:id="rId16" display="http://cdsbib.u-strasbg.fr/cgi-bin/cdsbib?1990RMxAA..21..381G"/>
    <hyperlink ref="AP1467" r:id="rId17" display="http://cdsbib.u-strasbg.fr/cgi-bin/cdsbib?1990RMxAA..21..381G"/>
    <hyperlink ref="AP1485" r:id="rId18" display="http://cdsbib.u-strasbg.fr/cgi-bin/cdsbib?1990RMxAA..21..381G"/>
    <hyperlink ref="AP1486" r:id="rId19" display="http://cdsbib.u-strasbg.fr/cgi-bin/cdsbib?1990RMxAA..21..381G"/>
    <hyperlink ref="AP148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9"/>
  <sheetViews>
    <sheetView topLeftCell="A3" workbookViewId="0">
      <selection activeCell="A23" sqref="A23:C25"/>
    </sheetView>
  </sheetViews>
  <sheetFormatPr defaultRowHeight="12.75"/>
  <cols>
    <col min="1" max="1" width="19.7109375" style="36" customWidth="1"/>
    <col min="2" max="2" width="4.42578125" style="16" customWidth="1"/>
    <col min="3" max="3" width="12.7109375" style="36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36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35" t="s">
        <v>54</v>
      </c>
      <c r="I1" s="37" t="s">
        <v>55</v>
      </c>
      <c r="J1" s="38" t="s">
        <v>56</v>
      </c>
    </row>
    <row r="2" spans="1:16">
      <c r="I2" s="39" t="s">
        <v>57</v>
      </c>
      <c r="J2" s="40" t="s">
        <v>58</v>
      </c>
    </row>
    <row r="3" spans="1:16">
      <c r="A3" s="41" t="s">
        <v>59</v>
      </c>
      <c r="I3" s="39" t="s">
        <v>60</v>
      </c>
      <c r="J3" s="40" t="s">
        <v>61</v>
      </c>
    </row>
    <row r="4" spans="1:16">
      <c r="I4" s="39" t="s">
        <v>62</v>
      </c>
      <c r="J4" s="40" t="s">
        <v>61</v>
      </c>
    </row>
    <row r="5" spans="1:16" ht="13.5" thickBot="1">
      <c r="I5" s="42" t="s">
        <v>63</v>
      </c>
      <c r="J5" s="43" t="s">
        <v>52</v>
      </c>
    </row>
    <row r="10" spans="1:16" ht="13.5" thickBot="1"/>
    <row r="11" spans="1:16" ht="12.75" customHeight="1" thickBot="1">
      <c r="A11" s="36" t="str">
        <f t="shared" ref="A11:A25" si="0">P11</f>
        <v>IBVS 2527 </v>
      </c>
      <c r="B11" s="5" t="str">
        <f t="shared" ref="B11:B25" si="1">IF(H11=INT(H11),"I","II")</f>
        <v>I</v>
      </c>
      <c r="C11" s="36">
        <f t="shared" ref="C11:C25" si="2">1*G11</f>
        <v>45441.711000000003</v>
      </c>
      <c r="D11" s="16" t="str">
        <f t="shared" ref="D11:D25" si="3">VLOOKUP(F11,I$1:J$5,2,FALSE)</f>
        <v>vis</v>
      </c>
      <c r="E11" s="44">
        <f>VLOOKUP(C11,Active!C$21:E$973,3,FALSE)</f>
        <v>0</v>
      </c>
      <c r="F11" s="5" t="s">
        <v>63</v>
      </c>
      <c r="G11" s="16" t="str">
        <f t="shared" ref="G11:G25" si="4">MID(I11,3,LEN(I11)-3)</f>
        <v>45441.7110</v>
      </c>
      <c r="H11" s="36">
        <f t="shared" ref="H11:H25" si="5">1*K11</f>
        <v>0</v>
      </c>
      <c r="I11" s="45" t="s">
        <v>64</v>
      </c>
      <c r="J11" s="46" t="s">
        <v>65</v>
      </c>
      <c r="K11" s="45">
        <v>0</v>
      </c>
      <c r="L11" s="45" t="s">
        <v>66</v>
      </c>
      <c r="M11" s="46" t="s">
        <v>67</v>
      </c>
      <c r="N11" s="46" t="s">
        <v>68</v>
      </c>
      <c r="O11" s="47" t="s">
        <v>69</v>
      </c>
      <c r="P11" s="48" t="s">
        <v>70</v>
      </c>
    </row>
    <row r="12" spans="1:16" ht="12.75" customHeight="1" thickBot="1">
      <c r="A12" s="36" t="str">
        <f t="shared" si="0"/>
        <v> AAPS 69.338 </v>
      </c>
      <c r="B12" s="5" t="str">
        <f t="shared" si="1"/>
        <v>I</v>
      </c>
      <c r="C12" s="36">
        <f t="shared" si="2"/>
        <v>46178.499000000003</v>
      </c>
      <c r="D12" s="16" t="str">
        <f t="shared" si="3"/>
        <v>vis</v>
      </c>
      <c r="E12" s="44">
        <f>VLOOKUP(C12,Active!C$21:E$973,3,FALSE)</f>
        <v>949.9991619034854</v>
      </c>
      <c r="F12" s="5" t="s">
        <v>63</v>
      </c>
      <c r="G12" s="16" t="str">
        <f t="shared" si="4"/>
        <v>46178.4990</v>
      </c>
      <c r="H12" s="36">
        <f t="shared" si="5"/>
        <v>950</v>
      </c>
      <c r="I12" s="45" t="s">
        <v>76</v>
      </c>
      <c r="J12" s="46" t="s">
        <v>77</v>
      </c>
      <c r="K12" s="45">
        <v>950</v>
      </c>
      <c r="L12" s="45" t="s">
        <v>78</v>
      </c>
      <c r="M12" s="46" t="s">
        <v>67</v>
      </c>
      <c r="N12" s="46" t="s">
        <v>68</v>
      </c>
      <c r="O12" s="47" t="s">
        <v>79</v>
      </c>
      <c r="P12" s="47" t="s">
        <v>80</v>
      </c>
    </row>
    <row r="13" spans="1:16" ht="12.75" customHeight="1" thickBot="1">
      <c r="A13" s="36" t="str">
        <f t="shared" si="0"/>
        <v> AAPS 69.338 </v>
      </c>
      <c r="B13" s="5" t="str">
        <f t="shared" si="1"/>
        <v>I</v>
      </c>
      <c r="C13" s="36">
        <f t="shared" si="2"/>
        <v>46185.482600000003</v>
      </c>
      <c r="D13" s="16" t="str">
        <f t="shared" si="3"/>
        <v>vis</v>
      </c>
      <c r="E13" s="44">
        <f>VLOOKUP(C13,Active!C$21:E$973,3,FALSE)</f>
        <v>959.00367086273661</v>
      </c>
      <c r="F13" s="5" t="s">
        <v>63</v>
      </c>
      <c r="G13" s="16" t="str">
        <f t="shared" si="4"/>
        <v>46185.4826</v>
      </c>
      <c r="H13" s="36">
        <f t="shared" si="5"/>
        <v>959</v>
      </c>
      <c r="I13" s="45" t="s">
        <v>81</v>
      </c>
      <c r="J13" s="46" t="s">
        <v>82</v>
      </c>
      <c r="K13" s="45">
        <v>959</v>
      </c>
      <c r="L13" s="45" t="s">
        <v>83</v>
      </c>
      <c r="M13" s="46" t="s">
        <v>67</v>
      </c>
      <c r="N13" s="46" t="s">
        <v>68</v>
      </c>
      <c r="O13" s="47" t="s">
        <v>79</v>
      </c>
      <c r="P13" s="47" t="s">
        <v>80</v>
      </c>
    </row>
    <row r="14" spans="1:16" ht="12.75" customHeight="1" thickBot="1">
      <c r="A14" s="36" t="str">
        <f t="shared" si="0"/>
        <v>IBVS 3491 </v>
      </c>
      <c r="B14" s="5" t="str">
        <f t="shared" si="1"/>
        <v>II</v>
      </c>
      <c r="C14" s="36">
        <f t="shared" si="2"/>
        <v>46565.1126</v>
      </c>
      <c r="D14" s="16" t="str">
        <f t="shared" si="3"/>
        <v>vis</v>
      </c>
      <c r="E14" s="44">
        <f>VLOOKUP(C14,Active!C$21:E$973,3,FALSE)</f>
        <v>1448.4907171140565</v>
      </c>
      <c r="F14" s="5" t="s">
        <v>63</v>
      </c>
      <c r="G14" s="16" t="str">
        <f t="shared" si="4"/>
        <v>46565.1126</v>
      </c>
      <c r="H14" s="36">
        <f t="shared" si="5"/>
        <v>1448.5</v>
      </c>
      <c r="I14" s="45" t="s">
        <v>84</v>
      </c>
      <c r="J14" s="46" t="s">
        <v>85</v>
      </c>
      <c r="K14" s="45">
        <v>1448.5</v>
      </c>
      <c r="L14" s="45" t="s">
        <v>86</v>
      </c>
      <c r="M14" s="46" t="s">
        <v>67</v>
      </c>
      <c r="N14" s="46" t="s">
        <v>68</v>
      </c>
      <c r="O14" s="47" t="s">
        <v>87</v>
      </c>
      <c r="P14" s="48" t="s">
        <v>88</v>
      </c>
    </row>
    <row r="15" spans="1:16" ht="12.75" customHeight="1" thickBot="1">
      <c r="A15" s="36" t="str">
        <f t="shared" si="0"/>
        <v>IBVS 3491 </v>
      </c>
      <c r="B15" s="5" t="str">
        <f t="shared" si="1"/>
        <v>I</v>
      </c>
      <c r="C15" s="36">
        <f t="shared" si="2"/>
        <v>46863.321400000001</v>
      </c>
      <c r="D15" s="16" t="str">
        <f t="shared" si="3"/>
        <v>vis</v>
      </c>
      <c r="E15" s="44">
        <f>VLOOKUP(C15,Active!C$21:E$973,3,FALSE)</f>
        <v>1832.9949572377341</v>
      </c>
      <c r="F15" s="5" t="s">
        <v>63</v>
      </c>
      <c r="G15" s="16" t="str">
        <f t="shared" si="4"/>
        <v>46863.3214</v>
      </c>
      <c r="H15" s="36">
        <f t="shared" si="5"/>
        <v>1833</v>
      </c>
      <c r="I15" s="45" t="s">
        <v>89</v>
      </c>
      <c r="J15" s="46" t="s">
        <v>90</v>
      </c>
      <c r="K15" s="45">
        <v>1833</v>
      </c>
      <c r="L15" s="45" t="s">
        <v>91</v>
      </c>
      <c r="M15" s="46" t="s">
        <v>67</v>
      </c>
      <c r="N15" s="46" t="s">
        <v>68</v>
      </c>
      <c r="O15" s="47" t="s">
        <v>87</v>
      </c>
      <c r="P15" s="48" t="s">
        <v>88</v>
      </c>
    </row>
    <row r="16" spans="1:16" ht="12.75" customHeight="1" thickBot="1">
      <c r="A16" s="36" t="str">
        <f t="shared" si="0"/>
        <v> BBS 109 </v>
      </c>
      <c r="B16" s="5" t="str">
        <f t="shared" si="1"/>
        <v>I</v>
      </c>
      <c r="C16" s="36">
        <f t="shared" si="2"/>
        <v>47322.468999999997</v>
      </c>
      <c r="D16" s="16" t="str">
        <f t="shared" si="3"/>
        <v>vis</v>
      </c>
      <c r="E16" s="44">
        <f>VLOOKUP(C16,Active!C$21:E$973,3,FALSE)</f>
        <v>2425.0103472685073</v>
      </c>
      <c r="F16" s="5" t="s">
        <v>63</v>
      </c>
      <c r="G16" s="16" t="str">
        <f t="shared" si="4"/>
        <v>47322.469</v>
      </c>
      <c r="H16" s="36">
        <f t="shared" si="5"/>
        <v>2425</v>
      </c>
      <c r="I16" s="45" t="s">
        <v>92</v>
      </c>
      <c r="J16" s="46" t="s">
        <v>93</v>
      </c>
      <c r="K16" s="45">
        <v>2425</v>
      </c>
      <c r="L16" s="45" t="s">
        <v>94</v>
      </c>
      <c r="M16" s="46" t="s">
        <v>95</v>
      </c>
      <c r="N16" s="46"/>
      <c r="O16" s="47" t="s">
        <v>96</v>
      </c>
      <c r="P16" s="47" t="s">
        <v>97</v>
      </c>
    </row>
    <row r="17" spans="1:16" ht="12.75" customHeight="1" thickBot="1">
      <c r="A17" s="36" t="str">
        <f t="shared" si="0"/>
        <v> BBS 129 </v>
      </c>
      <c r="B17" s="5" t="str">
        <f t="shared" si="1"/>
        <v>I</v>
      </c>
      <c r="C17" s="36">
        <f t="shared" si="2"/>
        <v>47609.421000000002</v>
      </c>
      <c r="D17" s="16" t="str">
        <f t="shared" si="3"/>
        <v>vis</v>
      </c>
      <c r="E17" s="44">
        <f>VLOOKUP(C17,Active!C$21:E$973,3,FALSE)</f>
        <v>2795.0003030041235</v>
      </c>
      <c r="F17" s="5" t="s">
        <v>63</v>
      </c>
      <c r="G17" s="16" t="str">
        <f t="shared" si="4"/>
        <v>47609.421</v>
      </c>
      <c r="H17" s="36">
        <f t="shared" si="5"/>
        <v>2795</v>
      </c>
      <c r="I17" s="45" t="s">
        <v>98</v>
      </c>
      <c r="J17" s="46" t="s">
        <v>99</v>
      </c>
      <c r="K17" s="45">
        <v>2795</v>
      </c>
      <c r="L17" s="45" t="s">
        <v>100</v>
      </c>
      <c r="M17" s="46" t="s">
        <v>95</v>
      </c>
      <c r="N17" s="46"/>
      <c r="O17" s="47" t="s">
        <v>96</v>
      </c>
      <c r="P17" s="47" t="s">
        <v>101</v>
      </c>
    </row>
    <row r="18" spans="1:16" ht="12.75" customHeight="1" thickBot="1">
      <c r="A18" s="36" t="str">
        <f t="shared" si="0"/>
        <v> BBS 94 </v>
      </c>
      <c r="B18" s="5" t="str">
        <f t="shared" si="1"/>
        <v>I</v>
      </c>
      <c r="C18" s="36">
        <f t="shared" si="2"/>
        <v>47954.544000000002</v>
      </c>
      <c r="D18" s="16" t="str">
        <f t="shared" si="3"/>
        <v>vis</v>
      </c>
      <c r="E18" s="44">
        <f>VLOOKUP(C18,Active!C$21:E$973,3,FALSE)</f>
        <v>3239.9947393326415</v>
      </c>
      <c r="F18" s="5" t="s">
        <v>63</v>
      </c>
      <c r="G18" s="16" t="str">
        <f t="shared" si="4"/>
        <v>47954.544</v>
      </c>
      <c r="H18" s="36">
        <f t="shared" si="5"/>
        <v>3240</v>
      </c>
      <c r="I18" s="45" t="s">
        <v>102</v>
      </c>
      <c r="J18" s="46" t="s">
        <v>103</v>
      </c>
      <c r="K18" s="45">
        <v>3240</v>
      </c>
      <c r="L18" s="45" t="s">
        <v>104</v>
      </c>
      <c r="M18" s="46" t="s">
        <v>95</v>
      </c>
      <c r="N18" s="46"/>
      <c r="O18" s="47" t="s">
        <v>105</v>
      </c>
      <c r="P18" s="47" t="s">
        <v>106</v>
      </c>
    </row>
    <row r="19" spans="1:16" ht="12.75" customHeight="1" thickBot="1">
      <c r="A19" s="36" t="str">
        <f t="shared" si="0"/>
        <v> BBS 95 </v>
      </c>
      <c r="B19" s="5" t="str">
        <f t="shared" si="1"/>
        <v>I</v>
      </c>
      <c r="C19" s="36">
        <f t="shared" si="2"/>
        <v>48010.402999999998</v>
      </c>
      <c r="D19" s="16" t="str">
        <f t="shared" si="3"/>
        <v>vis</v>
      </c>
      <c r="E19" s="44">
        <f>VLOOKUP(C19,Active!C$21:E$973,3,FALSE)</f>
        <v>3312.0181750899606</v>
      </c>
      <c r="F19" s="5" t="s">
        <v>63</v>
      </c>
      <c r="G19" s="16" t="str">
        <f t="shared" si="4"/>
        <v>48010.403</v>
      </c>
      <c r="H19" s="36">
        <f t="shared" si="5"/>
        <v>3312</v>
      </c>
      <c r="I19" s="45" t="s">
        <v>107</v>
      </c>
      <c r="J19" s="46" t="s">
        <v>108</v>
      </c>
      <c r="K19" s="45">
        <v>3312</v>
      </c>
      <c r="L19" s="45" t="s">
        <v>109</v>
      </c>
      <c r="M19" s="46" t="s">
        <v>95</v>
      </c>
      <c r="N19" s="46"/>
      <c r="O19" s="47" t="s">
        <v>105</v>
      </c>
      <c r="P19" s="47" t="s">
        <v>110</v>
      </c>
    </row>
    <row r="20" spans="1:16" ht="12.75" customHeight="1" thickBot="1">
      <c r="A20" s="36" t="str">
        <f t="shared" si="0"/>
        <v> JAAVSO 41;122 </v>
      </c>
      <c r="B20" s="5" t="str">
        <f t="shared" si="1"/>
        <v>I</v>
      </c>
      <c r="C20" s="36">
        <f t="shared" si="2"/>
        <v>50573.644999999997</v>
      </c>
      <c r="D20" s="16" t="str">
        <f t="shared" si="3"/>
        <v>vis</v>
      </c>
      <c r="E20" s="44">
        <f>VLOOKUP(C20,Active!C$21:E$973,3,FALSE)</f>
        <v>6617.0092332448312</v>
      </c>
      <c r="F20" s="5" t="s">
        <v>63</v>
      </c>
      <c r="G20" s="16" t="str">
        <f t="shared" si="4"/>
        <v>50573.645</v>
      </c>
      <c r="H20" s="36">
        <f t="shared" si="5"/>
        <v>6617</v>
      </c>
      <c r="I20" s="45" t="s">
        <v>111</v>
      </c>
      <c r="J20" s="46" t="s">
        <v>112</v>
      </c>
      <c r="K20" s="45">
        <v>6617</v>
      </c>
      <c r="L20" s="45" t="s">
        <v>113</v>
      </c>
      <c r="M20" s="46" t="s">
        <v>95</v>
      </c>
      <c r="N20" s="46"/>
      <c r="O20" s="47" t="s">
        <v>114</v>
      </c>
      <c r="P20" s="47" t="s">
        <v>115</v>
      </c>
    </row>
    <row r="21" spans="1:16" ht="12.75" customHeight="1" thickBot="1">
      <c r="A21" s="36" t="str">
        <f t="shared" si="0"/>
        <v>IBVS 5690 </v>
      </c>
      <c r="B21" s="5" t="str">
        <f t="shared" si="1"/>
        <v>I</v>
      </c>
      <c r="C21" s="36">
        <f t="shared" si="2"/>
        <v>53510.6967</v>
      </c>
      <c r="D21" s="16" t="str">
        <f t="shared" si="3"/>
        <v>vis</v>
      </c>
      <c r="E21" s="44">
        <f>VLOOKUP(C21,Active!C$21:E$973,3,FALSE)</f>
        <v>10403.982763578128</v>
      </c>
      <c r="F21" s="5" t="s">
        <v>63</v>
      </c>
      <c r="G21" s="16" t="str">
        <f t="shared" si="4"/>
        <v>53510.6967</v>
      </c>
      <c r="H21" s="36">
        <f t="shared" si="5"/>
        <v>10404</v>
      </c>
      <c r="I21" s="45" t="s">
        <v>116</v>
      </c>
      <c r="J21" s="46" t="s">
        <v>117</v>
      </c>
      <c r="K21" s="45">
        <v>10404</v>
      </c>
      <c r="L21" s="45" t="s">
        <v>118</v>
      </c>
      <c r="M21" s="46" t="s">
        <v>67</v>
      </c>
      <c r="N21" s="46" t="s">
        <v>68</v>
      </c>
      <c r="O21" s="47" t="s">
        <v>119</v>
      </c>
      <c r="P21" s="48" t="s">
        <v>120</v>
      </c>
    </row>
    <row r="22" spans="1:16" ht="12.75" customHeight="1" thickBot="1">
      <c r="A22" s="36" t="str">
        <f t="shared" si="0"/>
        <v>OEJV 0160 </v>
      </c>
      <c r="B22" s="5" t="str">
        <f t="shared" si="1"/>
        <v>I</v>
      </c>
      <c r="C22" s="36">
        <f t="shared" si="2"/>
        <v>56013.412530000001</v>
      </c>
      <c r="D22" s="16" t="str">
        <f t="shared" si="3"/>
        <v>vis</v>
      </c>
      <c r="E22" s="44">
        <f>VLOOKUP(C22,Active!C$21:E$973,3,FALSE)</f>
        <v>13630.932633802107</v>
      </c>
      <c r="F22" s="5" t="s">
        <v>63</v>
      </c>
      <c r="G22" s="16" t="str">
        <f t="shared" si="4"/>
        <v>56013.41253</v>
      </c>
      <c r="H22" s="36">
        <f t="shared" si="5"/>
        <v>13631</v>
      </c>
      <c r="I22" s="45" t="s">
        <v>133</v>
      </c>
      <c r="J22" s="46" t="s">
        <v>134</v>
      </c>
      <c r="K22" s="45">
        <v>13631</v>
      </c>
      <c r="L22" s="45" t="s">
        <v>135</v>
      </c>
      <c r="M22" s="46" t="s">
        <v>124</v>
      </c>
      <c r="N22" s="46" t="s">
        <v>55</v>
      </c>
      <c r="O22" s="47" t="s">
        <v>136</v>
      </c>
      <c r="P22" s="48" t="s">
        <v>137</v>
      </c>
    </row>
    <row r="23" spans="1:16" ht="12.75" customHeight="1" thickBot="1">
      <c r="A23" s="36" t="str">
        <f t="shared" si="0"/>
        <v> AJ 91.1221 </v>
      </c>
      <c r="B23" s="5" t="str">
        <f t="shared" si="1"/>
        <v>I</v>
      </c>
      <c r="C23" s="36">
        <f t="shared" si="2"/>
        <v>45441.713000000003</v>
      </c>
      <c r="D23" s="16" t="str">
        <f t="shared" si="3"/>
        <v>vis</v>
      </c>
      <c r="E23" s="44">
        <f>VLOOKUP(C23,Active!C$21:E$973,3,FALSE)</f>
        <v>2.5787585088167153E-3</v>
      </c>
      <c r="F23" s="5" t="s">
        <v>63</v>
      </c>
      <c r="G23" s="16" t="str">
        <f t="shared" si="4"/>
        <v>45441.713</v>
      </c>
      <c r="H23" s="36">
        <f t="shared" si="5"/>
        <v>0</v>
      </c>
      <c r="I23" s="45" t="s">
        <v>71</v>
      </c>
      <c r="J23" s="46" t="s">
        <v>72</v>
      </c>
      <c r="K23" s="45">
        <v>0</v>
      </c>
      <c r="L23" s="45" t="s">
        <v>73</v>
      </c>
      <c r="M23" s="46" t="s">
        <v>67</v>
      </c>
      <c r="N23" s="46" t="s">
        <v>68</v>
      </c>
      <c r="O23" s="47" t="s">
        <v>74</v>
      </c>
      <c r="P23" s="47" t="s">
        <v>75</v>
      </c>
    </row>
    <row r="24" spans="1:16" ht="12.75" customHeight="1" thickBot="1">
      <c r="A24" s="36" t="str">
        <f t="shared" si="0"/>
        <v>VSB 46 </v>
      </c>
      <c r="B24" s="5" t="str">
        <f t="shared" si="1"/>
        <v>II</v>
      </c>
      <c r="C24" s="36">
        <f t="shared" si="2"/>
        <v>54153.269099999998</v>
      </c>
      <c r="D24" s="16" t="str">
        <f t="shared" si="3"/>
        <v>vis</v>
      </c>
      <c r="E24" s="44">
        <f>VLOOKUP(C24,Active!C$21:E$973,3,FALSE)</f>
        <v>11232.502285424722</v>
      </c>
      <c r="F24" s="5" t="s">
        <v>63</v>
      </c>
      <c r="G24" s="16" t="str">
        <f t="shared" si="4"/>
        <v>54153.2691</v>
      </c>
      <c r="H24" s="36">
        <f t="shared" si="5"/>
        <v>11232.5</v>
      </c>
      <c r="I24" s="45" t="s">
        <v>121</v>
      </c>
      <c r="J24" s="46" t="s">
        <v>122</v>
      </c>
      <c r="K24" s="45">
        <v>11232.5</v>
      </c>
      <c r="L24" s="45" t="s">
        <v>123</v>
      </c>
      <c r="M24" s="46" t="s">
        <v>124</v>
      </c>
      <c r="N24" s="46"/>
      <c r="O24" s="47" t="s">
        <v>125</v>
      </c>
      <c r="P24" s="48" t="s">
        <v>126</v>
      </c>
    </row>
    <row r="25" spans="1:16" ht="12.75" customHeight="1" thickBot="1">
      <c r="A25" s="36" t="str">
        <f t="shared" si="0"/>
        <v>IBVS 5806 </v>
      </c>
      <c r="B25" s="5" t="str">
        <f t="shared" si="1"/>
        <v>I</v>
      </c>
      <c r="C25" s="36">
        <f t="shared" si="2"/>
        <v>54194.747300000003</v>
      </c>
      <c r="D25" s="16" t="str">
        <f t="shared" si="3"/>
        <v>vis</v>
      </c>
      <c r="E25" s="44">
        <f>VLOOKUP(C25,Active!C$21:E$973,3,FALSE)</f>
        <v>11285.983416004034</v>
      </c>
      <c r="F25" s="5" t="s">
        <v>63</v>
      </c>
      <c r="G25" s="16" t="str">
        <f t="shared" si="4"/>
        <v>54194.7473</v>
      </c>
      <c r="H25" s="36">
        <f t="shared" si="5"/>
        <v>11286</v>
      </c>
      <c r="I25" s="45" t="s">
        <v>127</v>
      </c>
      <c r="J25" s="46" t="s">
        <v>128</v>
      </c>
      <c r="K25" s="45">
        <v>11286</v>
      </c>
      <c r="L25" s="45" t="s">
        <v>129</v>
      </c>
      <c r="M25" s="46" t="s">
        <v>124</v>
      </c>
      <c r="N25" s="46" t="s">
        <v>130</v>
      </c>
      <c r="O25" s="47" t="s">
        <v>131</v>
      </c>
      <c r="P25" s="48" t="s">
        <v>132</v>
      </c>
    </row>
    <row r="26" spans="1:16">
      <c r="B26" s="5"/>
      <c r="E26" s="44"/>
      <c r="F26" s="5"/>
    </row>
    <row r="27" spans="1:16">
      <c r="B27" s="5"/>
      <c r="E27" s="44"/>
      <c r="F27" s="5"/>
    </row>
    <row r="28" spans="1:16">
      <c r="B28" s="5"/>
      <c r="E28" s="44"/>
      <c r="F28" s="5"/>
    </row>
    <row r="29" spans="1:16">
      <c r="B29" s="5"/>
      <c r="E29" s="44"/>
      <c r="F29" s="5"/>
    </row>
    <row r="30" spans="1:16">
      <c r="B30" s="5"/>
      <c r="E30" s="44"/>
      <c r="F30" s="5"/>
    </row>
    <row r="31" spans="1:16">
      <c r="B31" s="5"/>
      <c r="E31" s="44"/>
      <c r="F31" s="5"/>
    </row>
    <row r="32" spans="1:16">
      <c r="B32" s="5"/>
      <c r="E32" s="44"/>
      <c r="F32" s="5"/>
    </row>
    <row r="33" spans="2:6">
      <c r="B33" s="5"/>
      <c r="E33" s="44"/>
      <c r="F33" s="5"/>
    </row>
    <row r="34" spans="2:6">
      <c r="B34" s="5"/>
      <c r="E34" s="44"/>
      <c r="F34" s="5"/>
    </row>
    <row r="35" spans="2:6">
      <c r="B35" s="5"/>
      <c r="E35" s="44"/>
      <c r="F35" s="5"/>
    </row>
    <row r="36" spans="2:6">
      <c r="B36" s="5"/>
      <c r="E36" s="44"/>
      <c r="F36" s="5"/>
    </row>
    <row r="37" spans="2:6">
      <c r="B37" s="5"/>
      <c r="E37" s="44"/>
      <c r="F37" s="5"/>
    </row>
    <row r="38" spans="2:6">
      <c r="B38" s="5"/>
      <c r="E38" s="44"/>
      <c r="F38" s="5"/>
    </row>
    <row r="39" spans="2:6">
      <c r="B39" s="5"/>
      <c r="E39" s="44"/>
      <c r="F39" s="5"/>
    </row>
    <row r="40" spans="2:6">
      <c r="B40" s="5"/>
      <c r="E40" s="44"/>
      <c r="F40" s="5"/>
    </row>
    <row r="41" spans="2:6">
      <c r="B41" s="5"/>
      <c r="E41" s="44"/>
      <c r="F41" s="5"/>
    </row>
    <row r="42" spans="2:6">
      <c r="B42" s="5"/>
      <c r="F42" s="5"/>
    </row>
    <row r="43" spans="2:6">
      <c r="B43" s="5"/>
      <c r="F43" s="5"/>
    </row>
    <row r="44" spans="2:6">
      <c r="B44" s="5"/>
      <c r="F44" s="5"/>
    </row>
    <row r="45" spans="2:6">
      <c r="B45" s="5"/>
      <c r="F45" s="5"/>
    </row>
    <row r="46" spans="2:6">
      <c r="B46" s="5"/>
      <c r="F46" s="5"/>
    </row>
    <row r="47" spans="2:6">
      <c r="B47" s="5"/>
      <c r="F47" s="5"/>
    </row>
    <row r="48" spans="2: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</sheetData>
  <phoneticPr fontId="7" type="noConversion"/>
  <hyperlinks>
    <hyperlink ref="P11" r:id="rId1" display="http://www.konkoly.hu/cgi-bin/IBVS?2527"/>
    <hyperlink ref="P14" r:id="rId2" display="http://www.konkoly.hu/cgi-bin/IBVS?3491"/>
    <hyperlink ref="P15" r:id="rId3" display="http://www.konkoly.hu/cgi-bin/IBVS?3491"/>
    <hyperlink ref="P21" r:id="rId4" display="http://www.konkoly.hu/cgi-bin/IBVS?5690"/>
    <hyperlink ref="P24" r:id="rId5" display="http://vsolj.cetus-net.org/no46.pdf"/>
    <hyperlink ref="P25" r:id="rId6" display="http://www.konkoly.hu/cgi-bin/IBVS?5806"/>
    <hyperlink ref="P22" r:id="rId7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2023-01-25T07:34:41Z</dcterms:modified>
</cp:coreProperties>
</file>