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d only\"/>
    </mc:Choice>
  </mc:AlternateContent>
  <xr:revisionPtr revIDLastSave="0" documentId="13_ncr:40009_{47E3034E-3012-481D-95F6-8B51584CCFC4}" xr6:coauthVersionLast="47" xr6:coauthVersionMax="47" xr10:uidLastSave="{00000000-0000-0000-0000-000000000000}"/>
  <bookViews>
    <workbookView xWindow="13785" yWindow="645" windowWidth="12585" windowHeight="14295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65" i="1" l="1"/>
  <c r="F65" i="1" s="1"/>
  <c r="G65" i="1" s="1"/>
  <c r="K65" i="1" s="1"/>
  <c r="Q65" i="1"/>
  <c r="E66" i="1"/>
  <c r="F66" i="1"/>
  <c r="G66" i="1" s="1"/>
  <c r="K66" i="1" s="1"/>
  <c r="Q66" i="1"/>
  <c r="E67" i="1"/>
  <c r="F67" i="1" s="1"/>
  <c r="G67" i="1" s="1"/>
  <c r="K67" i="1" s="1"/>
  <c r="Q67" i="1"/>
  <c r="E68" i="1"/>
  <c r="F68" i="1"/>
  <c r="G68" i="1" s="1"/>
  <c r="K68" i="1" s="1"/>
  <c r="Q68" i="1"/>
  <c r="C9" i="1"/>
  <c r="D9" i="1"/>
  <c r="F16" i="1"/>
  <c r="F17" i="1" s="1"/>
  <c r="C17" i="1"/>
  <c r="E21" i="1"/>
  <c r="F21" i="1"/>
  <c r="G21" i="1" s="1"/>
  <c r="H21" i="1" s="1"/>
  <c r="Q21" i="1"/>
  <c r="E22" i="1"/>
  <c r="F22" i="1"/>
  <c r="G22" i="1"/>
  <c r="H22" i="1" s="1"/>
  <c r="Q22" i="1"/>
  <c r="E23" i="1"/>
  <c r="F23" i="1" s="1"/>
  <c r="G23" i="1" s="1"/>
  <c r="H23" i="1" s="1"/>
  <c r="Q23" i="1"/>
  <c r="E24" i="1"/>
  <c r="E26" i="2" s="1"/>
  <c r="Q24" i="1"/>
  <c r="E25" i="1"/>
  <c r="F25" i="1" s="1"/>
  <c r="G25" i="1" s="1"/>
  <c r="H25" i="1" s="1"/>
  <c r="Q25" i="1"/>
  <c r="E26" i="1"/>
  <c r="F26" i="1" s="1"/>
  <c r="G26" i="1" s="1"/>
  <c r="H26" i="1" s="1"/>
  <c r="Q26" i="1"/>
  <c r="E27" i="1"/>
  <c r="E29" i="2" s="1"/>
  <c r="F27" i="1"/>
  <c r="G27" i="1" s="1"/>
  <c r="H27" i="1" s="1"/>
  <c r="Q27" i="1"/>
  <c r="E28" i="1"/>
  <c r="F28" i="1"/>
  <c r="G28" i="1" s="1"/>
  <c r="H28" i="1" s="1"/>
  <c r="Q28" i="1"/>
  <c r="E29" i="1"/>
  <c r="F29" i="1"/>
  <c r="G29" i="1" s="1"/>
  <c r="H29" i="1" s="1"/>
  <c r="Q29" i="1"/>
  <c r="E30" i="1"/>
  <c r="F30" i="1"/>
  <c r="G30" i="1"/>
  <c r="H30" i="1" s="1"/>
  <c r="Q30" i="1"/>
  <c r="E31" i="1"/>
  <c r="F31" i="1" s="1"/>
  <c r="G31" i="1" s="1"/>
  <c r="H31" i="1" s="1"/>
  <c r="Q31" i="1"/>
  <c r="E32" i="1"/>
  <c r="E34" i="2" s="1"/>
  <c r="Q32" i="1"/>
  <c r="E33" i="1"/>
  <c r="F33" i="1" s="1"/>
  <c r="G33" i="1" s="1"/>
  <c r="H33" i="1" s="1"/>
  <c r="Q33" i="1"/>
  <c r="E34" i="1"/>
  <c r="F34" i="1" s="1"/>
  <c r="G34" i="1" s="1"/>
  <c r="H34" i="1" s="1"/>
  <c r="Q34" i="1"/>
  <c r="E35" i="1"/>
  <c r="E37" i="2" s="1"/>
  <c r="F35" i="1"/>
  <c r="G35" i="1" s="1"/>
  <c r="H35" i="1" s="1"/>
  <c r="Q35" i="1"/>
  <c r="E36" i="1"/>
  <c r="F36" i="1"/>
  <c r="G36" i="1" s="1"/>
  <c r="H36" i="1" s="1"/>
  <c r="Q36" i="1"/>
  <c r="E37" i="1"/>
  <c r="F37" i="1"/>
  <c r="G37" i="1" s="1"/>
  <c r="H37" i="1" s="1"/>
  <c r="Q37" i="1"/>
  <c r="E38" i="1"/>
  <c r="F38" i="1"/>
  <c r="G38" i="1"/>
  <c r="H38" i="1" s="1"/>
  <c r="Q38" i="1"/>
  <c r="E39" i="1"/>
  <c r="F39" i="1" s="1"/>
  <c r="G39" i="1" s="1"/>
  <c r="H39" i="1" s="1"/>
  <c r="Q39" i="1"/>
  <c r="E40" i="1"/>
  <c r="E42" i="2" s="1"/>
  <c r="Q40" i="1"/>
  <c r="E41" i="1"/>
  <c r="F41" i="1" s="1"/>
  <c r="G41" i="1" s="1"/>
  <c r="H41" i="1" s="1"/>
  <c r="Q41" i="1"/>
  <c r="E42" i="1"/>
  <c r="F42" i="1" s="1"/>
  <c r="G42" i="1" s="1"/>
  <c r="H42" i="1" s="1"/>
  <c r="Q42" i="1"/>
  <c r="E44" i="1"/>
  <c r="F44" i="1"/>
  <c r="G44" i="1" s="1"/>
  <c r="K44" i="1" s="1"/>
  <c r="Q44" i="1"/>
  <c r="E53" i="1"/>
  <c r="F53" i="1"/>
  <c r="G53" i="1" s="1"/>
  <c r="K53" i="1" s="1"/>
  <c r="Q53" i="1"/>
  <c r="E54" i="1"/>
  <c r="F54" i="1"/>
  <c r="G54" i="1" s="1"/>
  <c r="K54" i="1" s="1"/>
  <c r="Q54" i="1"/>
  <c r="E59" i="1"/>
  <c r="F59" i="1"/>
  <c r="G59" i="1"/>
  <c r="K59" i="1" s="1"/>
  <c r="Q59" i="1"/>
  <c r="E60" i="1"/>
  <c r="F60" i="1" s="1"/>
  <c r="G60" i="1" s="1"/>
  <c r="K60" i="1" s="1"/>
  <c r="Q60" i="1"/>
  <c r="E43" i="1"/>
  <c r="F43" i="1" s="1"/>
  <c r="G43" i="1" s="1"/>
  <c r="I43" i="1" s="1"/>
  <c r="Q43" i="1"/>
  <c r="E49" i="1"/>
  <c r="F49" i="1" s="1"/>
  <c r="G49" i="1" s="1"/>
  <c r="K49" i="1" s="1"/>
  <c r="Q49" i="1"/>
  <c r="E50" i="1"/>
  <c r="F50" i="1" s="1"/>
  <c r="G50" i="1" s="1"/>
  <c r="K50" i="1" s="1"/>
  <c r="Q50" i="1"/>
  <c r="E51" i="1"/>
  <c r="E14" i="2" s="1"/>
  <c r="F51" i="1"/>
  <c r="G51" i="1" s="1"/>
  <c r="K51" i="1" s="1"/>
  <c r="Q51" i="1"/>
  <c r="E52" i="1"/>
  <c r="F52" i="1"/>
  <c r="G52" i="1" s="1"/>
  <c r="K52" i="1" s="1"/>
  <c r="Q52" i="1"/>
  <c r="E55" i="1"/>
  <c r="F55" i="1"/>
  <c r="G55" i="1" s="1"/>
  <c r="K55" i="1" s="1"/>
  <c r="Q55" i="1"/>
  <c r="E56" i="1"/>
  <c r="F56" i="1"/>
  <c r="G56" i="1"/>
  <c r="K56" i="1" s="1"/>
  <c r="Q56" i="1"/>
  <c r="E57" i="1"/>
  <c r="F57" i="1" s="1"/>
  <c r="G57" i="1" s="1"/>
  <c r="K57" i="1" s="1"/>
  <c r="Q57" i="1"/>
  <c r="E58" i="1"/>
  <c r="E21" i="2" s="1"/>
  <c r="Q58" i="1"/>
  <c r="E62" i="1"/>
  <c r="F62" i="1" s="1"/>
  <c r="G62" i="1" s="1"/>
  <c r="K62" i="1" s="1"/>
  <c r="Q62" i="1"/>
  <c r="E45" i="1"/>
  <c r="F45" i="1" s="1"/>
  <c r="G45" i="1" s="1"/>
  <c r="K45" i="1" s="1"/>
  <c r="Q45" i="1"/>
  <c r="E46" i="1"/>
  <c r="F46" i="1"/>
  <c r="G46" i="1" s="1"/>
  <c r="K46" i="1" s="1"/>
  <c r="Q46" i="1"/>
  <c r="E47" i="1"/>
  <c r="F47" i="1"/>
  <c r="G47" i="1" s="1"/>
  <c r="K47" i="1" s="1"/>
  <c r="Q47" i="1"/>
  <c r="E48" i="1"/>
  <c r="F48" i="1"/>
  <c r="G48" i="1" s="1"/>
  <c r="K48" i="1" s="1"/>
  <c r="Q48" i="1"/>
  <c r="E63" i="1"/>
  <c r="F63" i="1"/>
  <c r="G63" i="1"/>
  <c r="K63" i="1" s="1"/>
  <c r="Q63" i="1"/>
  <c r="E64" i="1"/>
  <c r="F64" i="1" s="1"/>
  <c r="G64" i="1" s="1"/>
  <c r="K64" i="1" s="1"/>
  <c r="Q64" i="1"/>
  <c r="E61" i="1"/>
  <c r="F61" i="1" s="1"/>
  <c r="G61" i="1" s="1"/>
  <c r="K61" i="1" s="1"/>
  <c r="Q61" i="1"/>
  <c r="A11" i="2"/>
  <c r="B11" i="2"/>
  <c r="C11" i="2"/>
  <c r="E11" i="2"/>
  <c r="D11" i="2"/>
  <c r="G11" i="2"/>
  <c r="H11" i="2"/>
  <c r="A12" i="2"/>
  <c r="B12" i="2"/>
  <c r="C12" i="2"/>
  <c r="E12" i="2"/>
  <c r="D12" i="2"/>
  <c r="G12" i="2"/>
  <c r="H12" i="2"/>
  <c r="A13" i="2"/>
  <c r="C13" i="2"/>
  <c r="D13" i="2"/>
  <c r="G13" i="2"/>
  <c r="H13" i="2"/>
  <c r="B13" i="2"/>
  <c r="A14" i="2"/>
  <c r="D14" i="2"/>
  <c r="G14" i="2"/>
  <c r="C14" i="2"/>
  <c r="H14" i="2"/>
  <c r="B14" i="2"/>
  <c r="A15" i="2"/>
  <c r="D15" i="2"/>
  <c r="G15" i="2"/>
  <c r="C15" i="2"/>
  <c r="E15" i="2"/>
  <c r="H15" i="2"/>
  <c r="B15" i="2"/>
  <c r="A16" i="2"/>
  <c r="D16" i="2"/>
  <c r="G16" i="2"/>
  <c r="C16" i="2"/>
  <c r="E16" i="2"/>
  <c r="H16" i="2"/>
  <c r="B16" i="2"/>
  <c r="A17" i="2"/>
  <c r="C17" i="2"/>
  <c r="E17" i="2"/>
  <c r="D17" i="2"/>
  <c r="G17" i="2"/>
  <c r="H17" i="2"/>
  <c r="B17" i="2"/>
  <c r="A18" i="2"/>
  <c r="B18" i="2"/>
  <c r="D18" i="2"/>
  <c r="G18" i="2"/>
  <c r="C18" i="2"/>
  <c r="E18" i="2"/>
  <c r="H18" i="2"/>
  <c r="A19" i="2"/>
  <c r="B19" i="2"/>
  <c r="C19" i="2"/>
  <c r="E19" i="2"/>
  <c r="D19" i="2"/>
  <c r="G19" i="2"/>
  <c r="H19" i="2"/>
  <c r="A20" i="2"/>
  <c r="B20" i="2"/>
  <c r="C20" i="2"/>
  <c r="E20" i="2"/>
  <c r="D20" i="2"/>
  <c r="G20" i="2"/>
  <c r="H20" i="2"/>
  <c r="A21" i="2"/>
  <c r="C21" i="2"/>
  <c r="D21" i="2"/>
  <c r="G21" i="2"/>
  <c r="H21" i="2"/>
  <c r="B21" i="2"/>
  <c r="A22" i="2"/>
  <c r="B22" i="2"/>
  <c r="D22" i="2"/>
  <c r="G22" i="2"/>
  <c r="C22" i="2"/>
  <c r="E22" i="2"/>
  <c r="H22" i="2"/>
  <c r="A23" i="2"/>
  <c r="D23" i="2"/>
  <c r="G23" i="2"/>
  <c r="C23" i="2"/>
  <c r="E23" i="2"/>
  <c r="H23" i="2"/>
  <c r="B23" i="2"/>
  <c r="A24" i="2"/>
  <c r="D24" i="2"/>
  <c r="G24" i="2"/>
  <c r="C24" i="2"/>
  <c r="E24" i="2"/>
  <c r="H24" i="2"/>
  <c r="B24" i="2"/>
  <c r="A25" i="2"/>
  <c r="C25" i="2"/>
  <c r="D25" i="2"/>
  <c r="E25" i="2"/>
  <c r="G25" i="2"/>
  <c r="H25" i="2"/>
  <c r="B25" i="2"/>
  <c r="A26" i="2"/>
  <c r="B26" i="2"/>
  <c r="D26" i="2"/>
  <c r="G26" i="2"/>
  <c r="C26" i="2"/>
  <c r="H26" i="2"/>
  <c r="A27" i="2"/>
  <c r="B27" i="2"/>
  <c r="C27" i="2"/>
  <c r="E27" i="2"/>
  <c r="D27" i="2"/>
  <c r="G27" i="2"/>
  <c r="H27" i="2"/>
  <c r="A28" i="2"/>
  <c r="B28" i="2"/>
  <c r="C28" i="2"/>
  <c r="E28" i="2"/>
  <c r="D28" i="2"/>
  <c r="G28" i="2"/>
  <c r="H28" i="2"/>
  <c r="A29" i="2"/>
  <c r="C29" i="2"/>
  <c r="D29" i="2"/>
  <c r="G29" i="2"/>
  <c r="H29" i="2"/>
  <c r="B29" i="2"/>
  <c r="A30" i="2"/>
  <c r="B30" i="2"/>
  <c r="D30" i="2"/>
  <c r="G30" i="2"/>
  <c r="C30" i="2"/>
  <c r="E30" i="2"/>
  <c r="H30" i="2"/>
  <c r="A31" i="2"/>
  <c r="D31" i="2"/>
  <c r="G31" i="2"/>
  <c r="C31" i="2"/>
  <c r="E31" i="2"/>
  <c r="H31" i="2"/>
  <c r="B31" i="2"/>
  <c r="A32" i="2"/>
  <c r="D32" i="2"/>
  <c r="G32" i="2"/>
  <c r="C32" i="2"/>
  <c r="E32" i="2"/>
  <c r="H32" i="2"/>
  <c r="B32" i="2"/>
  <c r="A33" i="2"/>
  <c r="C33" i="2"/>
  <c r="D33" i="2"/>
  <c r="E33" i="2"/>
  <c r="G33" i="2"/>
  <c r="H33" i="2"/>
  <c r="B33" i="2"/>
  <c r="A34" i="2"/>
  <c r="B34" i="2"/>
  <c r="D34" i="2"/>
  <c r="G34" i="2"/>
  <c r="C34" i="2"/>
  <c r="H34" i="2"/>
  <c r="A35" i="2"/>
  <c r="B35" i="2"/>
  <c r="C35" i="2"/>
  <c r="E35" i="2"/>
  <c r="D35" i="2"/>
  <c r="G35" i="2"/>
  <c r="H35" i="2"/>
  <c r="A36" i="2"/>
  <c r="B36" i="2"/>
  <c r="C36" i="2"/>
  <c r="E36" i="2"/>
  <c r="D36" i="2"/>
  <c r="G36" i="2"/>
  <c r="H36" i="2"/>
  <c r="A37" i="2"/>
  <c r="C37" i="2"/>
  <c r="D37" i="2"/>
  <c r="G37" i="2"/>
  <c r="H37" i="2"/>
  <c r="B37" i="2"/>
  <c r="A38" i="2"/>
  <c r="B38" i="2"/>
  <c r="D38" i="2"/>
  <c r="G38" i="2"/>
  <c r="C38" i="2"/>
  <c r="E38" i="2"/>
  <c r="H38" i="2"/>
  <c r="A39" i="2"/>
  <c r="D39" i="2"/>
  <c r="G39" i="2"/>
  <c r="C39" i="2"/>
  <c r="E39" i="2"/>
  <c r="H39" i="2"/>
  <c r="B39" i="2"/>
  <c r="A40" i="2"/>
  <c r="D40" i="2"/>
  <c r="G40" i="2"/>
  <c r="C40" i="2"/>
  <c r="E40" i="2"/>
  <c r="H40" i="2"/>
  <c r="B40" i="2"/>
  <c r="A41" i="2"/>
  <c r="C41" i="2"/>
  <c r="D41" i="2"/>
  <c r="E41" i="2"/>
  <c r="G41" i="2"/>
  <c r="H41" i="2"/>
  <c r="B41" i="2"/>
  <c r="A42" i="2"/>
  <c r="B42" i="2"/>
  <c r="D42" i="2"/>
  <c r="G42" i="2"/>
  <c r="C42" i="2"/>
  <c r="H42" i="2"/>
  <c r="A43" i="2"/>
  <c r="B43" i="2"/>
  <c r="C43" i="2"/>
  <c r="E43" i="2"/>
  <c r="D43" i="2"/>
  <c r="G43" i="2"/>
  <c r="H43" i="2"/>
  <c r="A44" i="2"/>
  <c r="B44" i="2"/>
  <c r="C44" i="2"/>
  <c r="E44" i="2"/>
  <c r="D44" i="2"/>
  <c r="G44" i="2"/>
  <c r="H44" i="2"/>
  <c r="A45" i="2"/>
  <c r="C45" i="2"/>
  <c r="D45" i="2"/>
  <c r="G45" i="2"/>
  <c r="H45" i="2"/>
  <c r="B45" i="2"/>
  <c r="A46" i="2"/>
  <c r="B46" i="2"/>
  <c r="D46" i="2"/>
  <c r="G46" i="2"/>
  <c r="C46" i="2"/>
  <c r="E46" i="2"/>
  <c r="H46" i="2"/>
  <c r="A47" i="2"/>
  <c r="D47" i="2"/>
  <c r="G47" i="2"/>
  <c r="C47" i="2"/>
  <c r="E47" i="2"/>
  <c r="H47" i="2"/>
  <c r="B47" i="2"/>
  <c r="A48" i="2"/>
  <c r="D48" i="2"/>
  <c r="G48" i="2"/>
  <c r="C48" i="2"/>
  <c r="E48" i="2"/>
  <c r="H48" i="2"/>
  <c r="B48" i="2"/>
  <c r="F58" i="1" l="1"/>
  <c r="G58" i="1" s="1"/>
  <c r="F40" i="1"/>
  <c r="G40" i="1" s="1"/>
  <c r="H40" i="1" s="1"/>
  <c r="F32" i="1"/>
  <c r="G32" i="1" s="1"/>
  <c r="H32" i="1" s="1"/>
  <c r="F24" i="1"/>
  <c r="G24" i="1" s="1"/>
  <c r="H24" i="1" s="1"/>
  <c r="E45" i="2"/>
  <c r="E13" i="2"/>
  <c r="C11" i="1"/>
  <c r="C12" i="1"/>
  <c r="C16" i="1" l="1"/>
  <c r="D18" i="1" s="1"/>
  <c r="O68" i="1"/>
  <c r="O38" i="1"/>
  <c r="O37" i="1"/>
  <c r="O56" i="1"/>
  <c r="O46" i="1"/>
  <c r="O50" i="1"/>
  <c r="O29" i="1"/>
  <c r="O23" i="1"/>
  <c r="O61" i="1"/>
  <c r="O43" i="1"/>
  <c r="O26" i="1"/>
  <c r="O51" i="1"/>
  <c r="O65" i="1"/>
  <c r="O62" i="1"/>
  <c r="O24" i="1"/>
  <c r="O60" i="1"/>
  <c r="O47" i="1"/>
  <c r="O55" i="1"/>
  <c r="O48" i="1"/>
  <c r="O25" i="1"/>
  <c r="O54" i="1"/>
  <c r="O21" i="1"/>
  <c r="O44" i="1"/>
  <c r="O49" i="1"/>
  <c r="O52" i="1"/>
  <c r="O36" i="1"/>
  <c r="O33" i="1"/>
  <c r="O45" i="1"/>
  <c r="O58" i="1"/>
  <c r="O63" i="1"/>
  <c r="O31" i="1"/>
  <c r="O32" i="1"/>
  <c r="C15" i="1"/>
  <c r="C18" i="1" s="1"/>
  <c r="O28" i="1"/>
  <c r="O59" i="1"/>
  <c r="O22" i="1"/>
  <c r="O34" i="1"/>
  <c r="O35" i="1"/>
  <c r="O30" i="1"/>
  <c r="O39" i="1"/>
  <c r="O41" i="1"/>
  <c r="O64" i="1"/>
  <c r="O57" i="1"/>
  <c r="O40" i="1"/>
  <c r="O42" i="1"/>
  <c r="O53" i="1"/>
  <c r="O27" i="1"/>
  <c r="O66" i="1"/>
  <c r="O67" i="1"/>
  <c r="K58" i="1"/>
  <c r="F18" i="1" l="1"/>
  <c r="F19" i="1" s="1"/>
</calcChain>
</file>

<file path=xl/sharedStrings.xml><?xml version="1.0" encoding="utf-8"?>
<sst xmlns="http://schemas.openxmlformats.org/spreadsheetml/2006/main" count="439" uniqueCount="199">
  <si>
    <t>FQ Vir / GSC 6137-0010</t>
  </si>
  <si>
    <t>FQ Vir</t>
  </si>
  <si>
    <t>G6137-0010</t>
  </si>
  <si>
    <t>System Type:</t>
  </si>
  <si>
    <t>E/DM</t>
  </si>
  <si>
    <t>GCVS 4 Eph.</t>
  </si>
  <si>
    <t>My time zone &gt;&gt;&gt;&gt;&gt;</t>
  </si>
  <si>
    <t>(PST=8, PDT=MDT=7, MDT=CST=6, etc.)</t>
  </si>
  <si>
    <t>--- Working ----</t>
  </si>
  <si>
    <t>Epoch =</t>
  </si>
  <si>
    <t>Period =</t>
  </si>
  <si>
    <t>Start of linear fit &gt;&gt;&gt;&gt;&gt;&gt;&gt;&gt;&gt;&gt;&gt;&gt;&gt;&gt;&gt;&gt;&gt;&gt;&gt;&gt;&gt;</t>
  </si>
  <si>
    <t>Linear</t>
  </si>
  <si>
    <t>Quadratic</t>
  </si>
  <si>
    <t>LS Intercept =</t>
  </si>
  <si>
    <t>LS Slope =</t>
  </si>
  <si>
    <t>LS Quadr term =</t>
  </si>
  <si>
    <t>na</t>
  </si>
  <si>
    <t>New epoch =</t>
  </si>
  <si>
    <t>Add cycle</t>
  </si>
  <si>
    <t>New Period =</t>
  </si>
  <si>
    <t>JD today</t>
  </si>
  <si>
    <t># of data points:</t>
  </si>
  <si>
    <t>Old Cycle</t>
  </si>
  <si>
    <t>New Ephemeris =</t>
  </si>
  <si>
    <t>New Cycle</t>
  </si>
  <si>
    <t>Next ToM</t>
  </si>
  <si>
    <t>Source</t>
  </si>
  <si>
    <t>Typ</t>
  </si>
  <si>
    <t>ToM</t>
  </si>
  <si>
    <t>error</t>
  </si>
  <si>
    <t>n'</t>
  </si>
  <si>
    <t>n</t>
  </si>
  <si>
    <t>O-C</t>
  </si>
  <si>
    <t>pg</t>
  </si>
  <si>
    <t>vis</t>
  </si>
  <si>
    <t>PE</t>
  </si>
  <si>
    <t>CCD</t>
  </si>
  <si>
    <t>S5</t>
  </si>
  <si>
    <t>S6</t>
  </si>
  <si>
    <t>Misc</t>
  </si>
  <si>
    <t>Lin Fit</t>
  </si>
  <si>
    <t>Q. Fit</t>
  </si>
  <si>
    <t>Date</t>
  </si>
  <si>
    <t>BAD</t>
  </si>
  <si>
    <t> VB 10.106.2 </t>
  </si>
  <si>
    <t>I</t>
  </si>
  <si>
    <t>II</t>
  </si>
  <si>
    <t>IBVS 5690</t>
  </si>
  <si>
    <t>IBVS 5992</t>
  </si>
  <si>
    <t>IBVS 6029</t>
  </si>
  <si>
    <t>JAVSO..44…26</t>
  </si>
  <si>
    <t>Kreiner</t>
  </si>
  <si>
    <t>OEJV 0160</t>
  </si>
  <si>
    <t>OEJV 0191</t>
  </si>
  <si>
    <t>VSB 45 </t>
  </si>
  <si>
    <t>VSB 50 </t>
  </si>
  <si>
    <t>VSB-066</t>
  </si>
  <si>
    <t>JAVSO..47..263</t>
  </si>
  <si>
    <t>Minima from the Lichtenknecker Database of the BAV</t>
  </si>
  <si>
    <t>C</t>
  </si>
  <si>
    <t>E</t>
  </si>
  <si>
    <t>http://www.bav-astro.de/LkDB/index.php?lang=en&amp;sprache_dial=en</t>
  </si>
  <si>
    <t>F</t>
  </si>
  <si>
    <t>P</t>
  </si>
  <si>
    <t>V</t>
  </si>
  <si>
    <t>2453538.7821 </t>
  </si>
  <si>
    <t> 17.06.2005 06:46 </t>
  </si>
  <si>
    <t> 0.1215 </t>
  </si>
  <si>
    <t>E </t>
  </si>
  <si>
    <t>?</t>
  </si>
  <si>
    <t> T. Krajci </t>
  </si>
  <si>
    <t>IBVS 5690 </t>
  </si>
  <si>
    <t>2455627.55645 </t>
  </si>
  <si>
    <t> 07.03.2011 01:21 </t>
  </si>
  <si>
    <t> 0.18039 </t>
  </si>
  <si>
    <t>C </t>
  </si>
  <si>
    <t>R</t>
  </si>
  <si>
    <t> M.Lehky </t>
  </si>
  <si>
    <t>OEJV 0160 </t>
  </si>
  <si>
    <t>2455627.55685 </t>
  </si>
  <si>
    <t> 0.18079 </t>
  </si>
  <si>
    <t>2455627.55712 </t>
  </si>
  <si>
    <t> 07.03.2011 01:22 </t>
  </si>
  <si>
    <t> 0.18106 </t>
  </si>
  <si>
    <t>2455627.55728 </t>
  </si>
  <si>
    <t> 0.18122 </t>
  </si>
  <si>
    <t>B</t>
  </si>
  <si>
    <t>2455639.9250 </t>
  </si>
  <si>
    <t> 19.03.2011 10:12 </t>
  </si>
  <si>
    <t> 0.4754 </t>
  </si>
  <si>
    <t> R.Diethelm </t>
  </si>
  <si>
    <t>IBVS 5992 </t>
  </si>
  <si>
    <t>2455663.9126 </t>
  </si>
  <si>
    <t> 12.04.2011 09:54 </t>
  </si>
  <si>
    <t> 0.3160 </t>
  </si>
  <si>
    <t>2455953.63183 </t>
  </si>
  <si>
    <t> 27.01.2012 03:09 </t>
  </si>
  <si>
    <t> 0.27127 </t>
  </si>
  <si>
    <t> M.Mašek </t>
  </si>
  <si>
    <t>2455989.61688 </t>
  </si>
  <si>
    <t> 03.03.2012 02:48 </t>
  </si>
  <si>
    <t> 0.03582 </t>
  </si>
  <si>
    <t>2455989.61741 </t>
  </si>
  <si>
    <t> 03.03.2012 02:49 </t>
  </si>
  <si>
    <t> 0.03635 </t>
  </si>
  <si>
    <t>2455989.61751 </t>
  </si>
  <si>
    <t> 0.03645 </t>
  </si>
  <si>
    <t>2456074.6980 </t>
  </si>
  <si>
    <t> 27.05.2012 04:45 </t>
  </si>
  <si>
    <t> 0.6024 </t>
  </si>
  <si>
    <t>IBVS 6029 </t>
  </si>
  <si>
    <t>2427841.672 </t>
  </si>
  <si>
    <t> 08.02.1935 04:07 </t>
  </si>
  <si>
    <t> -0.053 </t>
  </si>
  <si>
    <t>P </t>
  </si>
  <si>
    <t> Gessner&amp;Hoffmeist. </t>
  </si>
  <si>
    <t>2428249.526 </t>
  </si>
  <si>
    <t> 22.03.1936 00:37 </t>
  </si>
  <si>
    <t> 0.320 </t>
  </si>
  <si>
    <t>2428270.467 </t>
  </si>
  <si>
    <t> 11.04.1936 23:12 </t>
  </si>
  <si>
    <t> 0.133 </t>
  </si>
  <si>
    <t>2428626.505 </t>
  </si>
  <si>
    <t> 03.04.1937 00:07 </t>
  </si>
  <si>
    <t> 0.002 </t>
  </si>
  <si>
    <t>2428629.495 </t>
  </si>
  <si>
    <t> 05.04.1937 23:52 </t>
  </si>
  <si>
    <t> -0.026 </t>
  </si>
  <si>
    <t>2428635.469 </t>
  </si>
  <si>
    <t> 11.04.1937 23:15 </t>
  </si>
  <si>
    <t> -0.089 </t>
  </si>
  <si>
    <t>2429646.681 </t>
  </si>
  <si>
    <t> 18.01.1940 04:20 </t>
  </si>
  <si>
    <t> -0.032 </t>
  </si>
  <si>
    <t>2429726.504 </t>
  </si>
  <si>
    <t> 07.04.1940 00:05 </t>
  </si>
  <si>
    <t> -0.196 </t>
  </si>
  <si>
    <t>2438475.501 </t>
  </si>
  <si>
    <t> 21.03.1964 00:01 </t>
  </si>
  <si>
    <t> 0.041 </t>
  </si>
  <si>
    <t> Strohmeier&amp;Knigge </t>
  </si>
  <si>
    <t>2438493.460 </t>
  </si>
  <si>
    <t> 07.04.1964 23:02 </t>
  </si>
  <si>
    <t> -0.110 </t>
  </si>
  <si>
    <t>2438505.440 </t>
  </si>
  <si>
    <t> 19.04.1964 22:33 </t>
  </si>
  <si>
    <t> -0.204 </t>
  </si>
  <si>
    <t>2438581.201 </t>
  </si>
  <si>
    <t> 04.07.1964 16:49 </t>
  </si>
  <si>
    <t> 0.098 </t>
  </si>
  <si>
    <t>2438584.202 </t>
  </si>
  <si>
    <t> 07.07.1964 16:50 </t>
  </si>
  <si>
    <t> 0.080 </t>
  </si>
  <si>
    <t>2438587.206 </t>
  </si>
  <si>
    <t> 10.07.1964 16:56 </t>
  </si>
  <si>
    <t> 0.066 </t>
  </si>
  <si>
    <t>2438590.204 </t>
  </si>
  <si>
    <t> 13.07.1964 16:53 </t>
  </si>
  <si>
    <t> 0.046 </t>
  </si>
  <si>
    <t>2438916.299 </t>
  </si>
  <si>
    <t> 04.06.1965 19:10 </t>
  </si>
  <si>
    <t> 0.156 </t>
  </si>
  <si>
    <t>2438934.255 </t>
  </si>
  <si>
    <t> 22.06.1965 18:07 </t>
  </si>
  <si>
    <t>2438940.230 </t>
  </si>
  <si>
    <t> 28.06.1965 17:31 </t>
  </si>
  <si>
    <t> -0.060 </t>
  </si>
  <si>
    <t>2438943.241 </t>
  </si>
  <si>
    <t> 01.07.1965 17:47 </t>
  </si>
  <si>
    <t> -0.067 </t>
  </si>
  <si>
    <t>2439269.331 </t>
  </si>
  <si>
    <t> 23.05.1966 19:56 </t>
  </si>
  <si>
    <t> 0.038 </t>
  </si>
  <si>
    <t>2439613.384 </t>
  </si>
  <si>
    <t> 02.05.1967 21:12 </t>
  </si>
  <si>
    <t> -0.003 </t>
  </si>
  <si>
    <t>2441443.948 </t>
  </si>
  <si>
    <t> 06.05.1972 10:45 </t>
  </si>
  <si>
    <t> -0.084 </t>
  </si>
  <si>
    <t> M.Clark </t>
  </si>
  <si>
    <t>2453834.1264 </t>
  </si>
  <si>
    <t> 08.04.2006 15:02 </t>
  </si>
  <si>
    <t> -0.3349 </t>
  </si>
  <si>
    <t> K. Nagai et al. </t>
  </si>
  <si>
    <t>2453847.2471 </t>
  </si>
  <si>
    <t> 21.04.2006 17:55 </t>
  </si>
  <si>
    <t> -0.7969 </t>
  </si>
  <si>
    <t>2454848.3409 </t>
  </si>
  <si>
    <t> 16.01.2009 20:10 </t>
  </si>
  <si>
    <t> -0.2944 </t>
  </si>
  <si>
    <t> K.Nakajima </t>
  </si>
  <si>
    <t>2454954.0365 </t>
  </si>
  <si>
    <t> 02.05.2009 12:52 </t>
  </si>
  <si>
    <t> -0.2419 </t>
  </si>
  <si>
    <t>Ic</t>
  </si>
  <si>
    <t> K.Nagai </t>
  </si>
  <si>
    <t>VSB, 91</t>
  </si>
  <si>
    <t>JBAV, 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</si>
</sst>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\$#,##0_);&quot;($&quot;#,##0\)"/>
    <numFmt numFmtId="165" formatCode="m/d/yyyy\ h:mm"/>
    <numFmt numFmtId="168" formatCode="d/mm/yyyy;@"/>
    <numFmt numFmtId="169" formatCode="0.00000"/>
  </numFmts>
  <fonts count="16" x14ac:knownFonts="1">
    <font>
      <sz val="10"/>
      <name val="Arial"/>
      <family val="2"/>
    </font>
    <font>
      <sz val="16"/>
      <name val="Arial"/>
      <family val="2"/>
    </font>
    <font>
      <sz val="10"/>
      <color indexed="20"/>
      <name val="Arial"/>
      <family val="2"/>
    </font>
    <font>
      <b/>
      <sz val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10"/>
      <name val="Arial"/>
      <family val="2"/>
    </font>
    <font>
      <b/>
      <sz val="10"/>
      <color indexed="14"/>
      <name val="Arial"/>
      <family val="2"/>
    </font>
    <font>
      <sz val="10"/>
      <color indexed="16"/>
      <name val="Arial"/>
      <family val="2"/>
    </font>
    <font>
      <sz val="10"/>
      <color indexed="8"/>
      <name val="Arial"/>
      <family val="2"/>
    </font>
    <font>
      <b/>
      <sz val="10"/>
      <color indexed="30"/>
      <name val="Arial"/>
      <family val="2"/>
    </font>
    <font>
      <sz val="10"/>
      <color indexed="17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11">
    <border>
      <left/>
      <right/>
      <top/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8">
    <xf numFmtId="0" fontId="0" fillId="0" borderId="0">
      <alignment vertical="top"/>
    </xf>
    <xf numFmtId="3" fontId="14" fillId="0" borderId="0" applyFill="0" applyBorder="0" applyProtection="0">
      <alignment vertical="top"/>
    </xf>
    <xf numFmtId="164" fontId="14" fillId="0" borderId="0" applyFill="0" applyBorder="0" applyProtection="0">
      <alignment vertical="top"/>
    </xf>
    <xf numFmtId="0" fontId="14" fillId="0" borderId="0" applyFill="0" applyBorder="0" applyProtection="0">
      <alignment vertical="top"/>
    </xf>
    <xf numFmtId="2" fontId="14" fillId="0" borderId="0" applyFill="0" applyBorder="0" applyProtection="0">
      <alignment vertical="top"/>
    </xf>
    <xf numFmtId="0" fontId="13" fillId="0" borderId="0" applyNumberFormat="0" applyFill="0" applyBorder="0" applyProtection="0">
      <alignment vertical="top"/>
    </xf>
    <xf numFmtId="0" fontId="14" fillId="0" borderId="0"/>
    <xf numFmtId="0" fontId="14" fillId="0" borderId="0"/>
  </cellStyleXfs>
  <cellXfs count="58">
    <xf numFmtId="0" fontId="0" fillId="0" borderId="0" xfId="0">
      <alignment vertical="top"/>
    </xf>
    <xf numFmtId="0" fontId="0" fillId="0" borderId="0" xfId="0" applyAlignment="1"/>
    <xf numFmtId="0" fontId="1" fillId="0" borderId="0" xfId="0" applyFont="1" applyAlignment="1"/>
    <xf numFmtId="0" fontId="2" fillId="0" borderId="0" xfId="0" applyFont="1" applyAlignment="1">
      <alignment vertical="center"/>
    </xf>
    <xf numFmtId="0" fontId="0" fillId="0" borderId="0" xfId="0" applyAlignment="1">
      <alignment horizontal="center"/>
    </xf>
    <xf numFmtId="0" fontId="3" fillId="0" borderId="0" xfId="0" applyFont="1" applyAlignment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0" xfId="0" applyFont="1">
      <alignment vertical="top"/>
    </xf>
    <xf numFmtId="0" fontId="5" fillId="0" borderId="0" xfId="0" applyFont="1">
      <alignment vertical="top"/>
    </xf>
    <xf numFmtId="0" fontId="0" fillId="0" borderId="0" xfId="0" applyAlignment="1">
      <alignment horizontal="left"/>
    </xf>
    <xf numFmtId="0" fontId="2" fillId="0" borderId="0" xfId="0" applyFont="1" applyAlignment="1">
      <alignment vertical="top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 vertical="top"/>
    </xf>
    <xf numFmtId="0" fontId="6" fillId="0" borderId="0" xfId="0" applyFont="1" applyAlignment="1"/>
    <xf numFmtId="0" fontId="0" fillId="0" borderId="3" xfId="0" applyFont="1" applyBorder="1" applyAlignment="1">
      <alignment horizontal="center"/>
    </xf>
    <xf numFmtId="0" fontId="6" fillId="0" borderId="0" xfId="0" applyFont="1">
      <alignment vertical="top"/>
    </xf>
    <xf numFmtId="0" fontId="3" fillId="0" borderId="0" xfId="0" applyFont="1">
      <alignment vertical="top"/>
    </xf>
    <xf numFmtId="0" fontId="6" fillId="0" borderId="0" xfId="0" applyFont="1" applyAlignment="1">
      <alignment horizontal="center"/>
    </xf>
    <xf numFmtId="0" fontId="2" fillId="0" borderId="0" xfId="0" applyFont="1">
      <alignment vertical="top"/>
    </xf>
    <xf numFmtId="0" fontId="0" fillId="0" borderId="1" xfId="0" applyBorder="1">
      <alignment vertical="top"/>
    </xf>
    <xf numFmtId="0" fontId="0" fillId="0" borderId="2" xfId="0" applyBorder="1">
      <alignment vertical="top"/>
    </xf>
    <xf numFmtId="165" fontId="6" fillId="0" borderId="0" xfId="0" applyNumberFormat="1" applyFont="1">
      <alignment vertical="top"/>
    </xf>
    <xf numFmtId="0" fontId="3" fillId="0" borderId="3" xfId="0" applyFont="1" applyBorder="1" applyAlignment="1">
      <alignment horizontal="center"/>
    </xf>
    <xf numFmtId="0" fontId="7" fillId="0" borderId="3" xfId="0" applyFont="1" applyFill="1" applyBorder="1" applyAlignment="1">
      <alignment horizontal="center"/>
    </xf>
    <xf numFmtId="0" fontId="8" fillId="0" borderId="0" xfId="0" applyFont="1" applyAlignment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0" fontId="10" fillId="0" borderId="0" xfId="6" applyFont="1" applyAlignment="1">
      <alignment horizontal="left" vertical="center"/>
    </xf>
    <xf numFmtId="0" fontId="10" fillId="0" borderId="0" xfId="6" applyFont="1" applyAlignment="1">
      <alignment horizontal="center" vertical="center"/>
    </xf>
    <xf numFmtId="0" fontId="9" fillId="0" borderId="0" xfId="0" applyFont="1">
      <alignment vertical="top"/>
    </xf>
    <xf numFmtId="0" fontId="6" fillId="0" borderId="0" xfId="7" applyFont="1" applyAlignment="1">
      <alignment horizontal="left"/>
    </xf>
    <xf numFmtId="0" fontId="6" fillId="0" borderId="0" xfId="7" applyFont="1" applyAlignment="1">
      <alignment horizontal="center"/>
    </xf>
    <xf numFmtId="0" fontId="11" fillId="0" borderId="0" xfId="7" applyFont="1" applyAlignment="1">
      <alignment horizontal="left"/>
    </xf>
    <xf numFmtId="0" fontId="11" fillId="0" borderId="0" xfId="7" applyFont="1" applyAlignment="1">
      <alignment horizontal="center"/>
    </xf>
    <xf numFmtId="0" fontId="11" fillId="0" borderId="0" xfId="0" applyFont="1" applyAlignment="1"/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0" fillId="0" borderId="4" xfId="0" applyFont="1" applyBorder="1" applyAlignment="1">
      <alignment horizontal="center"/>
    </xf>
    <xf numFmtId="0" fontId="0" fillId="0" borderId="5" xfId="0" applyFont="1" applyBorder="1">
      <alignment vertical="top"/>
    </xf>
    <xf numFmtId="0" fontId="0" fillId="0" borderId="6" xfId="0" applyFont="1" applyBorder="1" applyAlignment="1">
      <alignment horizontal="center"/>
    </xf>
    <xf numFmtId="0" fontId="0" fillId="0" borderId="7" xfId="0" applyFont="1" applyBorder="1">
      <alignment vertical="top"/>
    </xf>
    <xf numFmtId="0" fontId="13" fillId="0" borderId="0" xfId="5" applyNumberFormat="1" applyFont="1" applyFill="1" applyBorder="1" applyAlignment="1" applyProtection="1">
      <alignment horizontal="left"/>
    </xf>
    <xf numFmtId="0" fontId="0" fillId="0" borderId="8" xfId="0" applyFont="1" applyBorder="1" applyAlignment="1">
      <alignment horizontal="center"/>
    </xf>
    <xf numFmtId="0" fontId="0" fillId="0" borderId="9" xfId="0" applyFont="1" applyBorder="1">
      <alignment vertical="top"/>
    </xf>
    <xf numFmtId="0" fontId="9" fillId="2" borderId="10" xfId="0" applyFont="1" applyFill="1" applyBorder="1" applyAlignment="1">
      <alignment horizontal="left" vertical="top" wrapText="1" indent="1"/>
    </xf>
    <xf numFmtId="0" fontId="9" fillId="2" borderId="10" xfId="0" applyFont="1" applyFill="1" applyBorder="1" applyAlignment="1">
      <alignment horizontal="center" vertical="top" wrapText="1"/>
    </xf>
    <xf numFmtId="0" fontId="9" fillId="2" borderId="10" xfId="0" applyFont="1" applyFill="1" applyBorder="1" applyAlignment="1">
      <alignment horizontal="right" vertical="top" wrapText="1"/>
    </xf>
    <xf numFmtId="0" fontId="13" fillId="2" borderId="10" xfId="5" applyNumberFormat="1" applyFont="1" applyFill="1" applyBorder="1" applyAlignment="1" applyProtection="1">
      <alignment horizontal="right" vertical="top" wrapText="1"/>
    </xf>
    <xf numFmtId="168" fontId="0" fillId="0" borderId="0" xfId="0" applyNumberFormat="1" applyAlignment="1"/>
    <xf numFmtId="0" fontId="15" fillId="0" borderId="0" xfId="0" applyFont="1" applyAlignment="1">
      <alignment vertical="center" wrapText="1"/>
    </xf>
    <xf numFmtId="0" fontId="15" fillId="0" borderId="0" xfId="0" applyFont="1" applyAlignment="1">
      <alignment horizontal="center" vertical="center" wrapText="1"/>
    </xf>
    <xf numFmtId="169" fontId="15" fillId="0" borderId="0" xfId="0" applyNumberFormat="1" applyFont="1" applyAlignment="1">
      <alignment vertical="center" wrapText="1"/>
    </xf>
  </cellXfs>
  <cellStyles count="8">
    <cellStyle name="Comma0" xfId="1"/>
    <cellStyle name="Currency0" xfId="2"/>
    <cellStyle name="Date" xfId="3"/>
    <cellStyle name="Fixed" xfId="4"/>
    <cellStyle name="Hyperlink" xfId="5" builtinId="8"/>
    <cellStyle name="Normal" xfId="0" builtinId="0"/>
    <cellStyle name="Normal_A" xfId="6"/>
    <cellStyle name="Normal_A_1" xfId="7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80C0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CCC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FQ Vir - O-C Diagr.</a:t>
            </a:r>
          </a:p>
        </c:rich>
      </c:tx>
      <c:layout>
        <c:manualLayout>
          <c:xMode val="edge"/>
          <c:yMode val="edge"/>
          <c:x val="0.38680691150487745"/>
          <c:y val="3.303303303303303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43188398370443"/>
          <c:y val="0.22822889753688513"/>
          <c:w val="0.81259429801283289"/>
          <c:h val="0.55555718479373351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Active!$F$21:$F$64</c:f>
              <c:numCache>
                <c:formatCode>General</c:formatCode>
                <c:ptCount val="44"/>
                <c:pt idx="0">
                  <c:v>-32896</c:v>
                </c:pt>
                <c:pt idx="1">
                  <c:v>-32352</c:v>
                </c:pt>
                <c:pt idx="2">
                  <c:v>-32324</c:v>
                </c:pt>
                <c:pt idx="3">
                  <c:v>-31849</c:v>
                </c:pt>
                <c:pt idx="4">
                  <c:v>-31845</c:v>
                </c:pt>
                <c:pt idx="5">
                  <c:v>-31837</c:v>
                </c:pt>
                <c:pt idx="6">
                  <c:v>-30488</c:v>
                </c:pt>
                <c:pt idx="7">
                  <c:v>-30381.5</c:v>
                </c:pt>
                <c:pt idx="8">
                  <c:v>-18710</c:v>
                </c:pt>
                <c:pt idx="9">
                  <c:v>-18686</c:v>
                </c:pt>
                <c:pt idx="10">
                  <c:v>-18670</c:v>
                </c:pt>
                <c:pt idx="11">
                  <c:v>-18569</c:v>
                </c:pt>
                <c:pt idx="12">
                  <c:v>-18565</c:v>
                </c:pt>
                <c:pt idx="13">
                  <c:v>-18561</c:v>
                </c:pt>
                <c:pt idx="14">
                  <c:v>-18557</c:v>
                </c:pt>
                <c:pt idx="15">
                  <c:v>-18122</c:v>
                </c:pt>
                <c:pt idx="16">
                  <c:v>-18098</c:v>
                </c:pt>
                <c:pt idx="17">
                  <c:v>-18090</c:v>
                </c:pt>
                <c:pt idx="18">
                  <c:v>-18086</c:v>
                </c:pt>
                <c:pt idx="19">
                  <c:v>-17651</c:v>
                </c:pt>
                <c:pt idx="20">
                  <c:v>-17192</c:v>
                </c:pt>
                <c:pt idx="21">
                  <c:v>-14750</c:v>
                </c:pt>
                <c:pt idx="22">
                  <c:v>0</c:v>
                </c:pt>
                <c:pt idx="23">
                  <c:v>1385</c:v>
                </c:pt>
                <c:pt idx="24">
                  <c:v>1779</c:v>
                </c:pt>
                <c:pt idx="25">
                  <c:v>1796.5</c:v>
                </c:pt>
                <c:pt idx="26">
                  <c:v>3132</c:v>
                </c:pt>
                <c:pt idx="27">
                  <c:v>3273</c:v>
                </c:pt>
                <c:pt idx="28">
                  <c:v>4171.5</c:v>
                </c:pt>
                <c:pt idx="29">
                  <c:v>4171.5</c:v>
                </c:pt>
                <c:pt idx="30">
                  <c:v>4171.5</c:v>
                </c:pt>
                <c:pt idx="31">
                  <c:v>4171.5</c:v>
                </c:pt>
                <c:pt idx="32">
                  <c:v>4188</c:v>
                </c:pt>
                <c:pt idx="33">
                  <c:v>4220</c:v>
                </c:pt>
                <c:pt idx="34">
                  <c:v>4606.5</c:v>
                </c:pt>
                <c:pt idx="35">
                  <c:v>4654.5</c:v>
                </c:pt>
                <c:pt idx="36">
                  <c:v>4654.5</c:v>
                </c:pt>
                <c:pt idx="37">
                  <c:v>4654.5</c:v>
                </c:pt>
                <c:pt idx="38">
                  <c:v>4768</c:v>
                </c:pt>
                <c:pt idx="39">
                  <c:v>6249</c:v>
                </c:pt>
                <c:pt idx="40">
                  <c:v>6249</c:v>
                </c:pt>
                <c:pt idx="41">
                  <c:v>7197</c:v>
                </c:pt>
                <c:pt idx="42">
                  <c:v>7654</c:v>
                </c:pt>
                <c:pt idx="43">
                  <c:v>8202</c:v>
                </c:pt>
              </c:numCache>
            </c:numRef>
          </c:xVal>
          <c:yVal>
            <c:numRef>
              <c:f>Active!$H$21:$H$64</c:f>
              <c:numCache>
                <c:formatCode>General</c:formatCode>
                <c:ptCount val="44"/>
                <c:pt idx="0">
                  <c:v>5.1025600001594285E-2</c:v>
                </c:pt>
                <c:pt idx="1">
                  <c:v>0.12066720000439091</c:v>
                </c:pt>
                <c:pt idx="2">
                  <c:v>7.2766400004184106E-2</c:v>
                </c:pt>
                <c:pt idx="3">
                  <c:v>4.9056400002882583E-2</c:v>
                </c:pt>
                <c:pt idx="4">
                  <c:v>4.0642000003572321E-2</c:v>
                </c:pt>
                <c:pt idx="5">
                  <c:v>1.7813200003729435E-2</c:v>
                </c:pt>
                <c:pt idx="6">
                  <c:v>1.4556800004356774E-2</c:v>
                </c:pt>
                <c:pt idx="7">
                  <c:v>4.7734000036143698E-3</c:v>
                </c:pt>
                <c:pt idx="8">
                  <c:v>3.3560000010766089E-3</c:v>
                </c:pt>
                <c:pt idx="9">
                  <c:v>-2.8130400001828093E-2</c:v>
                </c:pt>
                <c:pt idx="10">
                  <c:v>-4.1787999994994607E-2</c:v>
                </c:pt>
                <c:pt idx="11">
                  <c:v>9.2484000051626936E-3</c:v>
                </c:pt>
                <c:pt idx="12">
                  <c:v>1.183399999717949E-2</c:v>
                </c:pt>
                <c:pt idx="13">
                  <c:v>1.7419600000721402E-2</c:v>
                </c:pt>
                <c:pt idx="14">
                  <c:v>1.7005200003040954E-2</c:v>
                </c:pt>
                <c:pt idx="15">
                  <c:v>3.443919999699574E-2</c:v>
                </c:pt>
                <c:pt idx="16">
                  <c:v>-4.7200002882163972E-5</c:v>
                </c:pt>
                <c:pt idx="17">
                  <c:v>-2.1875999991607387E-2</c:v>
                </c:pt>
                <c:pt idx="18">
                  <c:v>-9.2903999975533225E-3</c:v>
                </c:pt>
                <c:pt idx="19">
                  <c:v>3.1435999990208074E-3</c:v>
                </c:pt>
                <c:pt idx="20">
                  <c:v>-1.19087999992189E-2</c:v>
                </c:pt>
                <c:pt idx="21">
                  <c:v>2.0100000001548324E-2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8B4-4CE5-9BCF-2C086D5A8E19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Active!$F$21:$F$64</c:f>
              <c:numCache>
                <c:formatCode>General</c:formatCode>
                <c:ptCount val="44"/>
                <c:pt idx="0">
                  <c:v>-32896</c:v>
                </c:pt>
                <c:pt idx="1">
                  <c:v>-32352</c:v>
                </c:pt>
                <c:pt idx="2">
                  <c:v>-32324</c:v>
                </c:pt>
                <c:pt idx="3">
                  <c:v>-31849</c:v>
                </c:pt>
                <c:pt idx="4">
                  <c:v>-31845</c:v>
                </c:pt>
                <c:pt idx="5">
                  <c:v>-31837</c:v>
                </c:pt>
                <c:pt idx="6">
                  <c:v>-30488</c:v>
                </c:pt>
                <c:pt idx="7">
                  <c:v>-30381.5</c:v>
                </c:pt>
                <c:pt idx="8">
                  <c:v>-18710</c:v>
                </c:pt>
                <c:pt idx="9">
                  <c:v>-18686</c:v>
                </c:pt>
                <c:pt idx="10">
                  <c:v>-18670</c:v>
                </c:pt>
                <c:pt idx="11">
                  <c:v>-18569</c:v>
                </c:pt>
                <c:pt idx="12">
                  <c:v>-18565</c:v>
                </c:pt>
                <c:pt idx="13">
                  <c:v>-18561</c:v>
                </c:pt>
                <c:pt idx="14">
                  <c:v>-18557</c:v>
                </c:pt>
                <c:pt idx="15">
                  <c:v>-18122</c:v>
                </c:pt>
                <c:pt idx="16">
                  <c:v>-18098</c:v>
                </c:pt>
                <c:pt idx="17">
                  <c:v>-18090</c:v>
                </c:pt>
                <c:pt idx="18">
                  <c:v>-18086</c:v>
                </c:pt>
                <c:pt idx="19">
                  <c:v>-17651</c:v>
                </c:pt>
                <c:pt idx="20">
                  <c:v>-17192</c:v>
                </c:pt>
                <c:pt idx="21">
                  <c:v>-14750</c:v>
                </c:pt>
                <c:pt idx="22">
                  <c:v>0</c:v>
                </c:pt>
                <c:pt idx="23">
                  <c:v>1385</c:v>
                </c:pt>
                <c:pt idx="24">
                  <c:v>1779</c:v>
                </c:pt>
                <c:pt idx="25">
                  <c:v>1796.5</c:v>
                </c:pt>
                <c:pt idx="26">
                  <c:v>3132</c:v>
                </c:pt>
                <c:pt idx="27">
                  <c:v>3273</c:v>
                </c:pt>
                <c:pt idx="28">
                  <c:v>4171.5</c:v>
                </c:pt>
                <c:pt idx="29">
                  <c:v>4171.5</c:v>
                </c:pt>
                <c:pt idx="30">
                  <c:v>4171.5</c:v>
                </c:pt>
                <c:pt idx="31">
                  <c:v>4171.5</c:v>
                </c:pt>
                <c:pt idx="32">
                  <c:v>4188</c:v>
                </c:pt>
                <c:pt idx="33">
                  <c:v>4220</c:v>
                </c:pt>
                <c:pt idx="34">
                  <c:v>4606.5</c:v>
                </c:pt>
                <c:pt idx="35">
                  <c:v>4654.5</c:v>
                </c:pt>
                <c:pt idx="36">
                  <c:v>4654.5</c:v>
                </c:pt>
                <c:pt idx="37">
                  <c:v>4654.5</c:v>
                </c:pt>
                <c:pt idx="38">
                  <c:v>4768</c:v>
                </c:pt>
                <c:pt idx="39">
                  <c:v>6249</c:v>
                </c:pt>
                <c:pt idx="40">
                  <c:v>6249</c:v>
                </c:pt>
                <c:pt idx="41">
                  <c:v>7197</c:v>
                </c:pt>
                <c:pt idx="42">
                  <c:v>7654</c:v>
                </c:pt>
                <c:pt idx="43">
                  <c:v>8202</c:v>
                </c:pt>
              </c:numCache>
            </c:numRef>
          </c:xVal>
          <c:yVal>
            <c:numRef>
              <c:f>Active!$I$21:$I$64</c:f>
              <c:numCache>
                <c:formatCode>General</c:formatCode>
                <c:ptCount val="44"/>
                <c:pt idx="2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8B4-4CE5-9BCF-2C086D5A8E19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Active!$F$21:$F$64</c:f>
              <c:numCache>
                <c:formatCode>General</c:formatCode>
                <c:ptCount val="44"/>
                <c:pt idx="0">
                  <c:v>-32896</c:v>
                </c:pt>
                <c:pt idx="1">
                  <c:v>-32352</c:v>
                </c:pt>
                <c:pt idx="2">
                  <c:v>-32324</c:v>
                </c:pt>
                <c:pt idx="3">
                  <c:v>-31849</c:v>
                </c:pt>
                <c:pt idx="4">
                  <c:v>-31845</c:v>
                </c:pt>
                <c:pt idx="5">
                  <c:v>-31837</c:v>
                </c:pt>
                <c:pt idx="6">
                  <c:v>-30488</c:v>
                </c:pt>
                <c:pt idx="7">
                  <c:v>-30381.5</c:v>
                </c:pt>
                <c:pt idx="8">
                  <c:v>-18710</c:v>
                </c:pt>
                <c:pt idx="9">
                  <c:v>-18686</c:v>
                </c:pt>
                <c:pt idx="10">
                  <c:v>-18670</c:v>
                </c:pt>
                <c:pt idx="11">
                  <c:v>-18569</c:v>
                </c:pt>
                <c:pt idx="12">
                  <c:v>-18565</c:v>
                </c:pt>
                <c:pt idx="13">
                  <c:v>-18561</c:v>
                </c:pt>
                <c:pt idx="14">
                  <c:v>-18557</c:v>
                </c:pt>
                <c:pt idx="15">
                  <c:v>-18122</c:v>
                </c:pt>
                <c:pt idx="16">
                  <c:v>-18098</c:v>
                </c:pt>
                <c:pt idx="17">
                  <c:v>-18090</c:v>
                </c:pt>
                <c:pt idx="18">
                  <c:v>-18086</c:v>
                </c:pt>
                <c:pt idx="19">
                  <c:v>-17651</c:v>
                </c:pt>
                <c:pt idx="20">
                  <c:v>-17192</c:v>
                </c:pt>
                <c:pt idx="21">
                  <c:v>-14750</c:v>
                </c:pt>
                <c:pt idx="22">
                  <c:v>0</c:v>
                </c:pt>
                <c:pt idx="23">
                  <c:v>1385</c:v>
                </c:pt>
                <c:pt idx="24">
                  <c:v>1779</c:v>
                </c:pt>
                <c:pt idx="25">
                  <c:v>1796.5</c:v>
                </c:pt>
                <c:pt idx="26">
                  <c:v>3132</c:v>
                </c:pt>
                <c:pt idx="27">
                  <c:v>3273</c:v>
                </c:pt>
                <c:pt idx="28">
                  <c:v>4171.5</c:v>
                </c:pt>
                <c:pt idx="29">
                  <c:v>4171.5</c:v>
                </c:pt>
                <c:pt idx="30">
                  <c:v>4171.5</c:v>
                </c:pt>
                <c:pt idx="31">
                  <c:v>4171.5</c:v>
                </c:pt>
                <c:pt idx="32">
                  <c:v>4188</c:v>
                </c:pt>
                <c:pt idx="33">
                  <c:v>4220</c:v>
                </c:pt>
                <c:pt idx="34">
                  <c:v>4606.5</c:v>
                </c:pt>
                <c:pt idx="35">
                  <c:v>4654.5</c:v>
                </c:pt>
                <c:pt idx="36">
                  <c:v>4654.5</c:v>
                </c:pt>
                <c:pt idx="37">
                  <c:v>4654.5</c:v>
                </c:pt>
                <c:pt idx="38">
                  <c:v>4768</c:v>
                </c:pt>
                <c:pt idx="39">
                  <c:v>6249</c:v>
                </c:pt>
                <c:pt idx="40">
                  <c:v>6249</c:v>
                </c:pt>
                <c:pt idx="41">
                  <c:v>7197</c:v>
                </c:pt>
                <c:pt idx="42">
                  <c:v>7654</c:v>
                </c:pt>
                <c:pt idx="43">
                  <c:v>8202</c:v>
                </c:pt>
              </c:numCache>
            </c:numRef>
          </c:xVal>
          <c:yVal>
            <c:numRef>
              <c:f>Active!$J$21:$J$64</c:f>
              <c:numCache>
                <c:formatCode>General</c:formatCode>
                <c:ptCount val="4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8B4-4CE5-9BCF-2C086D5A8E19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Active!$F$21:$F$64</c:f>
              <c:numCache>
                <c:formatCode>General</c:formatCode>
                <c:ptCount val="44"/>
                <c:pt idx="0">
                  <c:v>-32896</c:v>
                </c:pt>
                <c:pt idx="1">
                  <c:v>-32352</c:v>
                </c:pt>
                <c:pt idx="2">
                  <c:v>-32324</c:v>
                </c:pt>
                <c:pt idx="3">
                  <c:v>-31849</c:v>
                </c:pt>
                <c:pt idx="4">
                  <c:v>-31845</c:v>
                </c:pt>
                <c:pt idx="5">
                  <c:v>-31837</c:v>
                </c:pt>
                <c:pt idx="6">
                  <c:v>-30488</c:v>
                </c:pt>
                <c:pt idx="7">
                  <c:v>-30381.5</c:v>
                </c:pt>
                <c:pt idx="8">
                  <c:v>-18710</c:v>
                </c:pt>
                <c:pt idx="9">
                  <c:v>-18686</c:v>
                </c:pt>
                <c:pt idx="10">
                  <c:v>-18670</c:v>
                </c:pt>
                <c:pt idx="11">
                  <c:v>-18569</c:v>
                </c:pt>
                <c:pt idx="12">
                  <c:v>-18565</c:v>
                </c:pt>
                <c:pt idx="13">
                  <c:v>-18561</c:v>
                </c:pt>
                <c:pt idx="14">
                  <c:v>-18557</c:v>
                </c:pt>
                <c:pt idx="15">
                  <c:v>-18122</c:v>
                </c:pt>
                <c:pt idx="16">
                  <c:v>-18098</c:v>
                </c:pt>
                <c:pt idx="17">
                  <c:v>-18090</c:v>
                </c:pt>
                <c:pt idx="18">
                  <c:v>-18086</c:v>
                </c:pt>
                <c:pt idx="19">
                  <c:v>-17651</c:v>
                </c:pt>
                <c:pt idx="20">
                  <c:v>-17192</c:v>
                </c:pt>
                <c:pt idx="21">
                  <c:v>-14750</c:v>
                </c:pt>
                <c:pt idx="22">
                  <c:v>0</c:v>
                </c:pt>
                <c:pt idx="23">
                  <c:v>1385</c:v>
                </c:pt>
                <c:pt idx="24">
                  <c:v>1779</c:v>
                </c:pt>
                <c:pt idx="25">
                  <c:v>1796.5</c:v>
                </c:pt>
                <c:pt idx="26">
                  <c:v>3132</c:v>
                </c:pt>
                <c:pt idx="27">
                  <c:v>3273</c:v>
                </c:pt>
                <c:pt idx="28">
                  <c:v>4171.5</c:v>
                </c:pt>
                <c:pt idx="29">
                  <c:v>4171.5</c:v>
                </c:pt>
                <c:pt idx="30">
                  <c:v>4171.5</c:v>
                </c:pt>
                <c:pt idx="31">
                  <c:v>4171.5</c:v>
                </c:pt>
                <c:pt idx="32">
                  <c:v>4188</c:v>
                </c:pt>
                <c:pt idx="33">
                  <c:v>4220</c:v>
                </c:pt>
                <c:pt idx="34">
                  <c:v>4606.5</c:v>
                </c:pt>
                <c:pt idx="35">
                  <c:v>4654.5</c:v>
                </c:pt>
                <c:pt idx="36">
                  <c:v>4654.5</c:v>
                </c:pt>
                <c:pt idx="37">
                  <c:v>4654.5</c:v>
                </c:pt>
                <c:pt idx="38">
                  <c:v>4768</c:v>
                </c:pt>
                <c:pt idx="39">
                  <c:v>6249</c:v>
                </c:pt>
                <c:pt idx="40">
                  <c:v>6249</c:v>
                </c:pt>
                <c:pt idx="41">
                  <c:v>7197</c:v>
                </c:pt>
                <c:pt idx="42">
                  <c:v>7654</c:v>
                </c:pt>
                <c:pt idx="43">
                  <c:v>8202</c:v>
                </c:pt>
              </c:numCache>
            </c:numRef>
          </c:xVal>
          <c:yVal>
            <c:numRef>
              <c:f>Active!$K$21:$K$64</c:f>
              <c:numCache>
                <c:formatCode>General</c:formatCode>
                <c:ptCount val="44"/>
                <c:pt idx="23">
                  <c:v>1.1399999493733048E-4</c:v>
                </c:pt>
                <c:pt idx="24">
                  <c:v>5.9560000227065757E-4</c:v>
                </c:pt>
                <c:pt idx="25">
                  <c:v>3.2326000000466593E-3</c:v>
                </c:pt>
                <c:pt idx="26">
                  <c:v>1.4248000006773509E-3</c:v>
                </c:pt>
                <c:pt idx="27">
                  <c:v>2.9172000067774206E-3</c:v>
                </c:pt>
                <c:pt idx="28">
                  <c:v>4.0325999943888746E-3</c:v>
                </c:pt>
                <c:pt idx="29">
                  <c:v>4.4325999988359399E-3</c:v>
                </c:pt>
                <c:pt idx="30">
                  <c:v>4.702599995653145E-3</c:v>
                </c:pt>
                <c:pt idx="31">
                  <c:v>4.8625999988871627E-3</c:v>
                </c:pt>
                <c:pt idx="32">
                  <c:v>4.1232000075979158E-3</c:v>
                </c:pt>
                <c:pt idx="33">
                  <c:v>4.4080000079702586E-3</c:v>
                </c:pt>
                <c:pt idx="34">
                  <c:v>1.8466000037733465E-3</c:v>
                </c:pt>
                <c:pt idx="35">
                  <c:v>5.9238000030745752E-3</c:v>
                </c:pt>
                <c:pt idx="36">
                  <c:v>6.4538000005995855E-3</c:v>
                </c:pt>
                <c:pt idx="37">
                  <c:v>6.553799998073373E-3</c:v>
                </c:pt>
                <c:pt idx="38">
                  <c:v>7.0351999966078438E-3</c:v>
                </c:pt>
                <c:pt idx="39">
                  <c:v>7.0036000033724122E-3</c:v>
                </c:pt>
                <c:pt idx="40">
                  <c:v>7.0036002070992254E-3</c:v>
                </c:pt>
                <c:pt idx="41">
                  <c:v>5.8907999991788529E-3</c:v>
                </c:pt>
                <c:pt idx="42">
                  <c:v>8.7455999091616832E-3</c:v>
                </c:pt>
                <c:pt idx="43">
                  <c:v>7.4728000035975128E-3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8B4-4CE5-9BCF-2C086D5A8E19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Active!$F$21:$F$64</c:f>
              <c:numCache>
                <c:formatCode>General</c:formatCode>
                <c:ptCount val="44"/>
                <c:pt idx="0">
                  <c:v>-32896</c:v>
                </c:pt>
                <c:pt idx="1">
                  <c:v>-32352</c:v>
                </c:pt>
                <c:pt idx="2">
                  <c:v>-32324</c:v>
                </c:pt>
                <c:pt idx="3">
                  <c:v>-31849</c:v>
                </c:pt>
                <c:pt idx="4">
                  <c:v>-31845</c:v>
                </c:pt>
                <c:pt idx="5">
                  <c:v>-31837</c:v>
                </c:pt>
                <c:pt idx="6">
                  <c:v>-30488</c:v>
                </c:pt>
                <c:pt idx="7">
                  <c:v>-30381.5</c:v>
                </c:pt>
                <c:pt idx="8">
                  <c:v>-18710</c:v>
                </c:pt>
                <c:pt idx="9">
                  <c:v>-18686</c:v>
                </c:pt>
                <c:pt idx="10">
                  <c:v>-18670</c:v>
                </c:pt>
                <c:pt idx="11">
                  <c:v>-18569</c:v>
                </c:pt>
                <c:pt idx="12">
                  <c:v>-18565</c:v>
                </c:pt>
                <c:pt idx="13">
                  <c:v>-18561</c:v>
                </c:pt>
                <c:pt idx="14">
                  <c:v>-18557</c:v>
                </c:pt>
                <c:pt idx="15">
                  <c:v>-18122</c:v>
                </c:pt>
                <c:pt idx="16">
                  <c:v>-18098</c:v>
                </c:pt>
                <c:pt idx="17">
                  <c:v>-18090</c:v>
                </c:pt>
                <c:pt idx="18">
                  <c:v>-18086</c:v>
                </c:pt>
                <c:pt idx="19">
                  <c:v>-17651</c:v>
                </c:pt>
                <c:pt idx="20">
                  <c:v>-17192</c:v>
                </c:pt>
                <c:pt idx="21">
                  <c:v>-14750</c:v>
                </c:pt>
                <c:pt idx="22">
                  <c:v>0</c:v>
                </c:pt>
                <c:pt idx="23">
                  <c:v>1385</c:v>
                </c:pt>
                <c:pt idx="24">
                  <c:v>1779</c:v>
                </c:pt>
                <c:pt idx="25">
                  <c:v>1796.5</c:v>
                </c:pt>
                <c:pt idx="26">
                  <c:v>3132</c:v>
                </c:pt>
                <c:pt idx="27">
                  <c:v>3273</c:v>
                </c:pt>
                <c:pt idx="28">
                  <c:v>4171.5</c:v>
                </c:pt>
                <c:pt idx="29">
                  <c:v>4171.5</c:v>
                </c:pt>
                <c:pt idx="30">
                  <c:v>4171.5</c:v>
                </c:pt>
                <c:pt idx="31">
                  <c:v>4171.5</c:v>
                </c:pt>
                <c:pt idx="32">
                  <c:v>4188</c:v>
                </c:pt>
                <c:pt idx="33">
                  <c:v>4220</c:v>
                </c:pt>
                <c:pt idx="34">
                  <c:v>4606.5</c:v>
                </c:pt>
                <c:pt idx="35">
                  <c:v>4654.5</c:v>
                </c:pt>
                <c:pt idx="36">
                  <c:v>4654.5</c:v>
                </c:pt>
                <c:pt idx="37">
                  <c:v>4654.5</c:v>
                </c:pt>
                <c:pt idx="38">
                  <c:v>4768</c:v>
                </c:pt>
                <c:pt idx="39">
                  <c:v>6249</c:v>
                </c:pt>
                <c:pt idx="40">
                  <c:v>6249</c:v>
                </c:pt>
                <c:pt idx="41">
                  <c:v>7197</c:v>
                </c:pt>
                <c:pt idx="42">
                  <c:v>7654</c:v>
                </c:pt>
                <c:pt idx="43">
                  <c:v>8202</c:v>
                </c:pt>
              </c:numCache>
            </c:numRef>
          </c:xVal>
          <c:yVal>
            <c:numRef>
              <c:f>Active!$L$21:$L$64</c:f>
              <c:numCache>
                <c:formatCode>General</c:formatCode>
                <c:ptCount val="4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8B4-4CE5-9BCF-2C086D5A8E19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Active!$F$21:$F$64</c:f>
              <c:numCache>
                <c:formatCode>General</c:formatCode>
                <c:ptCount val="44"/>
                <c:pt idx="0">
                  <c:v>-32896</c:v>
                </c:pt>
                <c:pt idx="1">
                  <c:v>-32352</c:v>
                </c:pt>
                <c:pt idx="2">
                  <c:v>-32324</c:v>
                </c:pt>
                <c:pt idx="3">
                  <c:v>-31849</c:v>
                </c:pt>
                <c:pt idx="4">
                  <c:v>-31845</c:v>
                </c:pt>
                <c:pt idx="5">
                  <c:v>-31837</c:v>
                </c:pt>
                <c:pt idx="6">
                  <c:v>-30488</c:v>
                </c:pt>
                <c:pt idx="7">
                  <c:v>-30381.5</c:v>
                </c:pt>
                <c:pt idx="8">
                  <c:v>-18710</c:v>
                </c:pt>
                <c:pt idx="9">
                  <c:v>-18686</c:v>
                </c:pt>
                <c:pt idx="10">
                  <c:v>-18670</c:v>
                </c:pt>
                <c:pt idx="11">
                  <c:v>-18569</c:v>
                </c:pt>
                <c:pt idx="12">
                  <c:v>-18565</c:v>
                </c:pt>
                <c:pt idx="13">
                  <c:v>-18561</c:v>
                </c:pt>
                <c:pt idx="14">
                  <c:v>-18557</c:v>
                </c:pt>
                <c:pt idx="15">
                  <c:v>-18122</c:v>
                </c:pt>
                <c:pt idx="16">
                  <c:v>-18098</c:v>
                </c:pt>
                <c:pt idx="17">
                  <c:v>-18090</c:v>
                </c:pt>
                <c:pt idx="18">
                  <c:v>-18086</c:v>
                </c:pt>
                <c:pt idx="19">
                  <c:v>-17651</c:v>
                </c:pt>
                <c:pt idx="20">
                  <c:v>-17192</c:v>
                </c:pt>
                <c:pt idx="21">
                  <c:v>-14750</c:v>
                </c:pt>
                <c:pt idx="22">
                  <c:v>0</c:v>
                </c:pt>
                <c:pt idx="23">
                  <c:v>1385</c:v>
                </c:pt>
                <c:pt idx="24">
                  <c:v>1779</c:v>
                </c:pt>
                <c:pt idx="25">
                  <c:v>1796.5</c:v>
                </c:pt>
                <c:pt idx="26">
                  <c:v>3132</c:v>
                </c:pt>
                <c:pt idx="27">
                  <c:v>3273</c:v>
                </c:pt>
                <c:pt idx="28">
                  <c:v>4171.5</c:v>
                </c:pt>
                <c:pt idx="29">
                  <c:v>4171.5</c:v>
                </c:pt>
                <c:pt idx="30">
                  <c:v>4171.5</c:v>
                </c:pt>
                <c:pt idx="31">
                  <c:v>4171.5</c:v>
                </c:pt>
                <c:pt idx="32">
                  <c:v>4188</c:v>
                </c:pt>
                <c:pt idx="33">
                  <c:v>4220</c:v>
                </c:pt>
                <c:pt idx="34">
                  <c:v>4606.5</c:v>
                </c:pt>
                <c:pt idx="35">
                  <c:v>4654.5</c:v>
                </c:pt>
                <c:pt idx="36">
                  <c:v>4654.5</c:v>
                </c:pt>
                <c:pt idx="37">
                  <c:v>4654.5</c:v>
                </c:pt>
                <c:pt idx="38">
                  <c:v>4768</c:v>
                </c:pt>
                <c:pt idx="39">
                  <c:v>6249</c:v>
                </c:pt>
                <c:pt idx="40">
                  <c:v>6249</c:v>
                </c:pt>
                <c:pt idx="41">
                  <c:v>7197</c:v>
                </c:pt>
                <c:pt idx="42">
                  <c:v>7654</c:v>
                </c:pt>
                <c:pt idx="43">
                  <c:v>8202</c:v>
                </c:pt>
              </c:numCache>
            </c:numRef>
          </c:xVal>
          <c:yVal>
            <c:numRef>
              <c:f>Active!$M$21:$M$64</c:f>
              <c:numCache>
                <c:formatCode>General</c:formatCode>
                <c:ptCount val="4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8B4-4CE5-9BCF-2C086D5A8E19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Active!$F$21:$F$64</c:f>
              <c:numCache>
                <c:formatCode>General</c:formatCode>
                <c:ptCount val="44"/>
                <c:pt idx="0">
                  <c:v>-32896</c:v>
                </c:pt>
                <c:pt idx="1">
                  <c:v>-32352</c:v>
                </c:pt>
                <c:pt idx="2">
                  <c:v>-32324</c:v>
                </c:pt>
                <c:pt idx="3">
                  <c:v>-31849</c:v>
                </c:pt>
                <c:pt idx="4">
                  <c:v>-31845</c:v>
                </c:pt>
                <c:pt idx="5">
                  <c:v>-31837</c:v>
                </c:pt>
                <c:pt idx="6">
                  <c:v>-30488</c:v>
                </c:pt>
                <c:pt idx="7">
                  <c:v>-30381.5</c:v>
                </c:pt>
                <c:pt idx="8">
                  <c:v>-18710</c:v>
                </c:pt>
                <c:pt idx="9">
                  <c:v>-18686</c:v>
                </c:pt>
                <c:pt idx="10">
                  <c:v>-18670</c:v>
                </c:pt>
                <c:pt idx="11">
                  <c:v>-18569</c:v>
                </c:pt>
                <c:pt idx="12">
                  <c:v>-18565</c:v>
                </c:pt>
                <c:pt idx="13">
                  <c:v>-18561</c:v>
                </c:pt>
                <c:pt idx="14">
                  <c:v>-18557</c:v>
                </c:pt>
                <c:pt idx="15">
                  <c:v>-18122</c:v>
                </c:pt>
                <c:pt idx="16">
                  <c:v>-18098</c:v>
                </c:pt>
                <c:pt idx="17">
                  <c:v>-18090</c:v>
                </c:pt>
                <c:pt idx="18">
                  <c:v>-18086</c:v>
                </c:pt>
                <c:pt idx="19">
                  <c:v>-17651</c:v>
                </c:pt>
                <c:pt idx="20">
                  <c:v>-17192</c:v>
                </c:pt>
                <c:pt idx="21">
                  <c:v>-14750</c:v>
                </c:pt>
                <c:pt idx="22">
                  <c:v>0</c:v>
                </c:pt>
                <c:pt idx="23">
                  <c:v>1385</c:v>
                </c:pt>
                <c:pt idx="24">
                  <c:v>1779</c:v>
                </c:pt>
                <c:pt idx="25">
                  <c:v>1796.5</c:v>
                </c:pt>
                <c:pt idx="26">
                  <c:v>3132</c:v>
                </c:pt>
                <c:pt idx="27">
                  <c:v>3273</c:v>
                </c:pt>
                <c:pt idx="28">
                  <c:v>4171.5</c:v>
                </c:pt>
                <c:pt idx="29">
                  <c:v>4171.5</c:v>
                </c:pt>
                <c:pt idx="30">
                  <c:v>4171.5</c:v>
                </c:pt>
                <c:pt idx="31">
                  <c:v>4171.5</c:v>
                </c:pt>
                <c:pt idx="32">
                  <c:v>4188</c:v>
                </c:pt>
                <c:pt idx="33">
                  <c:v>4220</c:v>
                </c:pt>
                <c:pt idx="34">
                  <c:v>4606.5</c:v>
                </c:pt>
                <c:pt idx="35">
                  <c:v>4654.5</c:v>
                </c:pt>
                <c:pt idx="36">
                  <c:v>4654.5</c:v>
                </c:pt>
                <c:pt idx="37">
                  <c:v>4654.5</c:v>
                </c:pt>
                <c:pt idx="38">
                  <c:v>4768</c:v>
                </c:pt>
                <c:pt idx="39">
                  <c:v>6249</c:v>
                </c:pt>
                <c:pt idx="40">
                  <c:v>6249</c:v>
                </c:pt>
                <c:pt idx="41">
                  <c:v>7197</c:v>
                </c:pt>
                <c:pt idx="42">
                  <c:v>7654</c:v>
                </c:pt>
                <c:pt idx="43">
                  <c:v>8202</c:v>
                </c:pt>
              </c:numCache>
            </c:numRef>
          </c:xVal>
          <c:yVal>
            <c:numRef>
              <c:f>Active!$N$21:$N$64</c:f>
              <c:numCache>
                <c:formatCode>General</c:formatCode>
                <c:ptCount val="4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8B4-4CE5-9BCF-2C086D5A8E19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Active!$F$21:$F$64</c:f>
              <c:numCache>
                <c:formatCode>General</c:formatCode>
                <c:ptCount val="44"/>
                <c:pt idx="0">
                  <c:v>-32896</c:v>
                </c:pt>
                <c:pt idx="1">
                  <c:v>-32352</c:v>
                </c:pt>
                <c:pt idx="2">
                  <c:v>-32324</c:v>
                </c:pt>
                <c:pt idx="3">
                  <c:v>-31849</c:v>
                </c:pt>
                <c:pt idx="4">
                  <c:v>-31845</c:v>
                </c:pt>
                <c:pt idx="5">
                  <c:v>-31837</c:v>
                </c:pt>
                <c:pt idx="6">
                  <c:v>-30488</c:v>
                </c:pt>
                <c:pt idx="7">
                  <c:v>-30381.5</c:v>
                </c:pt>
                <c:pt idx="8">
                  <c:v>-18710</c:v>
                </c:pt>
                <c:pt idx="9">
                  <c:v>-18686</c:v>
                </c:pt>
                <c:pt idx="10">
                  <c:v>-18670</c:v>
                </c:pt>
                <c:pt idx="11">
                  <c:v>-18569</c:v>
                </c:pt>
                <c:pt idx="12">
                  <c:v>-18565</c:v>
                </c:pt>
                <c:pt idx="13">
                  <c:v>-18561</c:v>
                </c:pt>
                <c:pt idx="14">
                  <c:v>-18557</c:v>
                </c:pt>
                <c:pt idx="15">
                  <c:v>-18122</c:v>
                </c:pt>
                <c:pt idx="16">
                  <c:v>-18098</c:v>
                </c:pt>
                <c:pt idx="17">
                  <c:v>-18090</c:v>
                </c:pt>
                <c:pt idx="18">
                  <c:v>-18086</c:v>
                </c:pt>
                <c:pt idx="19">
                  <c:v>-17651</c:v>
                </c:pt>
                <c:pt idx="20">
                  <c:v>-17192</c:v>
                </c:pt>
                <c:pt idx="21">
                  <c:v>-14750</c:v>
                </c:pt>
                <c:pt idx="22">
                  <c:v>0</c:v>
                </c:pt>
                <c:pt idx="23">
                  <c:v>1385</c:v>
                </c:pt>
                <c:pt idx="24">
                  <c:v>1779</c:v>
                </c:pt>
                <c:pt idx="25">
                  <c:v>1796.5</c:v>
                </c:pt>
                <c:pt idx="26">
                  <c:v>3132</c:v>
                </c:pt>
                <c:pt idx="27">
                  <c:v>3273</c:v>
                </c:pt>
                <c:pt idx="28">
                  <c:v>4171.5</c:v>
                </c:pt>
                <c:pt idx="29">
                  <c:v>4171.5</c:v>
                </c:pt>
                <c:pt idx="30">
                  <c:v>4171.5</c:v>
                </c:pt>
                <c:pt idx="31">
                  <c:v>4171.5</c:v>
                </c:pt>
                <c:pt idx="32">
                  <c:v>4188</c:v>
                </c:pt>
                <c:pt idx="33">
                  <c:v>4220</c:v>
                </c:pt>
                <c:pt idx="34">
                  <c:v>4606.5</c:v>
                </c:pt>
                <c:pt idx="35">
                  <c:v>4654.5</c:v>
                </c:pt>
                <c:pt idx="36">
                  <c:v>4654.5</c:v>
                </c:pt>
                <c:pt idx="37">
                  <c:v>4654.5</c:v>
                </c:pt>
                <c:pt idx="38">
                  <c:v>4768</c:v>
                </c:pt>
                <c:pt idx="39">
                  <c:v>6249</c:v>
                </c:pt>
                <c:pt idx="40">
                  <c:v>6249</c:v>
                </c:pt>
                <c:pt idx="41">
                  <c:v>7197</c:v>
                </c:pt>
                <c:pt idx="42">
                  <c:v>7654</c:v>
                </c:pt>
                <c:pt idx="43">
                  <c:v>8202</c:v>
                </c:pt>
              </c:numCache>
            </c:numRef>
          </c:xVal>
          <c:yVal>
            <c:numRef>
              <c:f>Active!$O$21:$O$64</c:f>
              <c:numCache>
                <c:formatCode>General</c:formatCode>
                <c:ptCount val="44"/>
                <c:pt idx="0">
                  <c:v>-1.8036496678132147E-2</c:v>
                </c:pt>
                <c:pt idx="1">
                  <c:v>-1.7701948085618379E-2</c:v>
                </c:pt>
                <c:pt idx="2">
                  <c:v>-1.7684728672768407E-2</c:v>
                </c:pt>
                <c:pt idx="3">
                  <c:v>-1.7392613633349215E-2</c:v>
                </c:pt>
                <c:pt idx="4">
                  <c:v>-1.739015371722779E-2</c:v>
                </c:pt>
                <c:pt idx="5">
                  <c:v>-1.7385233884984939E-2</c:v>
                </c:pt>
                <c:pt idx="6">
                  <c:v>-1.6555627173034437E-2</c:v>
                </c:pt>
                <c:pt idx="7">
                  <c:v>-1.6490131906301504E-2</c:v>
                </c:pt>
                <c:pt idx="8">
                  <c:v>-9.3124041534992097E-3</c:v>
                </c:pt>
                <c:pt idx="9">
                  <c:v>-9.2976446567706629E-3</c:v>
                </c:pt>
                <c:pt idx="10">
                  <c:v>-9.2878049922849627E-3</c:v>
                </c:pt>
                <c:pt idx="11">
                  <c:v>-9.2256921102189873E-3</c:v>
                </c:pt>
                <c:pt idx="12">
                  <c:v>-9.2232321940975623E-3</c:v>
                </c:pt>
                <c:pt idx="13">
                  <c:v>-9.2207722779761372E-3</c:v>
                </c:pt>
                <c:pt idx="14">
                  <c:v>-9.2183123618547122E-3</c:v>
                </c:pt>
                <c:pt idx="15">
                  <c:v>-8.95079648364977E-3</c:v>
                </c:pt>
                <c:pt idx="16">
                  <c:v>-8.9360369869212197E-3</c:v>
                </c:pt>
                <c:pt idx="17">
                  <c:v>-8.9311171546783696E-3</c:v>
                </c:pt>
                <c:pt idx="18">
                  <c:v>-8.9286572385569446E-3</c:v>
                </c:pt>
                <c:pt idx="19">
                  <c:v>-8.6611413603520024E-3</c:v>
                </c:pt>
                <c:pt idx="20">
                  <c:v>-8.3788659854185099E-3</c:v>
                </c:pt>
                <c:pt idx="21">
                  <c:v>-6.8770871932886902E-3</c:v>
                </c:pt>
                <c:pt idx="22">
                  <c:v>2.1938535044651415E-3</c:v>
                </c:pt>
                <c:pt idx="23">
                  <c:v>3.0455994615084673E-3</c:v>
                </c:pt>
                <c:pt idx="24">
                  <c:v>3.2879011994688071E-3</c:v>
                </c:pt>
                <c:pt idx="25">
                  <c:v>3.2986633325000404E-3</c:v>
                </c:pt>
                <c:pt idx="26">
                  <c:v>4.1199678275407343E-3</c:v>
                </c:pt>
                <c:pt idx="27">
                  <c:v>4.2066798708209584E-3</c:v>
                </c:pt>
                <c:pt idx="28">
                  <c:v>4.7592385295959962E-3</c:v>
                </c:pt>
                <c:pt idx="29">
                  <c:v>4.7592385295959962E-3</c:v>
                </c:pt>
                <c:pt idx="30">
                  <c:v>4.7592385295959962E-3</c:v>
                </c:pt>
                <c:pt idx="31">
                  <c:v>4.7592385295959962E-3</c:v>
                </c:pt>
                <c:pt idx="32">
                  <c:v>4.7693856835968728E-3</c:v>
                </c:pt>
                <c:pt idx="33">
                  <c:v>4.7890650125682714E-3</c:v>
                </c:pt>
                <c:pt idx="34">
                  <c:v>5.0267544078009402E-3</c:v>
                </c:pt>
                <c:pt idx="35">
                  <c:v>5.0562734012580372E-3</c:v>
                </c:pt>
                <c:pt idx="36">
                  <c:v>5.0562734012580372E-3</c:v>
                </c:pt>
                <c:pt idx="37">
                  <c:v>5.0562734012580372E-3</c:v>
                </c:pt>
                <c:pt idx="38">
                  <c:v>5.1260735212034642E-3</c:v>
                </c:pt>
                <c:pt idx="39">
                  <c:v>6.0368574651609849E-3</c:v>
                </c:pt>
                <c:pt idx="40">
                  <c:v>6.0368574651609849E-3</c:v>
                </c:pt>
                <c:pt idx="41">
                  <c:v>6.6198575859386551E-3</c:v>
                </c:pt>
                <c:pt idx="42">
                  <c:v>6.900903002811435E-3</c:v>
                </c:pt>
                <c:pt idx="43">
                  <c:v>7.2379115114466278E-3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18B4-4CE5-9BCF-2C086D5A8E19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x"/>
            <c:size val="5"/>
            <c:spPr>
              <a:noFill/>
              <a:ln>
                <a:solidFill>
                  <a:srgbClr val="CC9CCC"/>
                </a:solidFill>
                <a:prstDash val="solid"/>
              </a:ln>
            </c:spPr>
          </c:marker>
          <c:xVal>
            <c:numRef>
              <c:f>Active!$F$21:$F$64</c:f>
              <c:numCache>
                <c:formatCode>General</c:formatCode>
                <c:ptCount val="44"/>
                <c:pt idx="0">
                  <c:v>-32896</c:v>
                </c:pt>
                <c:pt idx="1">
                  <c:v>-32352</c:v>
                </c:pt>
                <c:pt idx="2">
                  <c:v>-32324</c:v>
                </c:pt>
                <c:pt idx="3">
                  <c:v>-31849</c:v>
                </c:pt>
                <c:pt idx="4">
                  <c:v>-31845</c:v>
                </c:pt>
                <c:pt idx="5">
                  <c:v>-31837</c:v>
                </c:pt>
                <c:pt idx="6">
                  <c:v>-30488</c:v>
                </c:pt>
                <c:pt idx="7">
                  <c:v>-30381.5</c:v>
                </c:pt>
                <c:pt idx="8">
                  <c:v>-18710</c:v>
                </c:pt>
                <c:pt idx="9">
                  <c:v>-18686</c:v>
                </c:pt>
                <c:pt idx="10">
                  <c:v>-18670</c:v>
                </c:pt>
                <c:pt idx="11">
                  <c:v>-18569</c:v>
                </c:pt>
                <c:pt idx="12">
                  <c:v>-18565</c:v>
                </c:pt>
                <c:pt idx="13">
                  <c:v>-18561</c:v>
                </c:pt>
                <c:pt idx="14">
                  <c:v>-18557</c:v>
                </c:pt>
                <c:pt idx="15">
                  <c:v>-18122</c:v>
                </c:pt>
                <c:pt idx="16">
                  <c:v>-18098</c:v>
                </c:pt>
                <c:pt idx="17">
                  <c:v>-18090</c:v>
                </c:pt>
                <c:pt idx="18">
                  <c:v>-18086</c:v>
                </c:pt>
                <c:pt idx="19">
                  <c:v>-17651</c:v>
                </c:pt>
                <c:pt idx="20">
                  <c:v>-17192</c:v>
                </c:pt>
                <c:pt idx="21">
                  <c:v>-14750</c:v>
                </c:pt>
                <c:pt idx="22">
                  <c:v>0</c:v>
                </c:pt>
                <c:pt idx="23">
                  <c:v>1385</c:v>
                </c:pt>
                <c:pt idx="24">
                  <c:v>1779</c:v>
                </c:pt>
                <c:pt idx="25">
                  <c:v>1796.5</c:v>
                </c:pt>
                <c:pt idx="26">
                  <c:v>3132</c:v>
                </c:pt>
                <c:pt idx="27">
                  <c:v>3273</c:v>
                </c:pt>
                <c:pt idx="28">
                  <c:v>4171.5</c:v>
                </c:pt>
                <c:pt idx="29">
                  <c:v>4171.5</c:v>
                </c:pt>
                <c:pt idx="30">
                  <c:v>4171.5</c:v>
                </c:pt>
                <c:pt idx="31">
                  <c:v>4171.5</c:v>
                </c:pt>
                <c:pt idx="32">
                  <c:v>4188</c:v>
                </c:pt>
                <c:pt idx="33">
                  <c:v>4220</c:v>
                </c:pt>
                <c:pt idx="34">
                  <c:v>4606.5</c:v>
                </c:pt>
                <c:pt idx="35">
                  <c:v>4654.5</c:v>
                </c:pt>
                <c:pt idx="36">
                  <c:v>4654.5</c:v>
                </c:pt>
                <c:pt idx="37">
                  <c:v>4654.5</c:v>
                </c:pt>
                <c:pt idx="38">
                  <c:v>4768</c:v>
                </c:pt>
                <c:pt idx="39">
                  <c:v>6249</c:v>
                </c:pt>
                <c:pt idx="40">
                  <c:v>6249</c:v>
                </c:pt>
                <c:pt idx="41">
                  <c:v>7197</c:v>
                </c:pt>
                <c:pt idx="42">
                  <c:v>7654</c:v>
                </c:pt>
                <c:pt idx="43">
                  <c:v>8202</c:v>
                </c:pt>
              </c:numCache>
            </c:numRef>
          </c:xVal>
          <c:yVal>
            <c:numRef>
              <c:f>Active!$U$21:$U$64</c:f>
              <c:numCache>
                <c:formatCode>General</c:formatCode>
                <c:ptCount val="4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18B4-4CE5-9BCF-2C086D5A8E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42062184"/>
        <c:axId val="1"/>
      </c:scatterChart>
      <c:valAx>
        <c:axId val="10420621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574244373876055"/>
              <c:y val="0.8648673870721115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2473763118440778E-2"/>
              <c:y val="0.4144156755180377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42062184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8590720387837575"/>
          <c:y val="0.91291543512015949"/>
          <c:w val="0.71214440024082448"/>
          <c:h val="6.006037533596586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76200</xdr:colOff>
      <xdr:row>0</xdr:row>
      <xdr:rowOff>0</xdr:rowOff>
    </xdr:from>
    <xdr:to>
      <xdr:col>17</xdr:col>
      <xdr:colOff>180975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D6581172-2962-B8BF-19EB-3E3F4644477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var.astro.cz/oejv/issues/oejv0160.pdf" TargetMode="External"/><Relationship Id="rId13" Type="http://schemas.openxmlformats.org/officeDocument/2006/relationships/hyperlink" Target="http://vsolj.cetus-net.org/no45.pdf" TargetMode="External"/><Relationship Id="rId3" Type="http://schemas.openxmlformats.org/officeDocument/2006/relationships/hyperlink" Target="http://var.astro.cz/oejv/issues/oejv0160.pdf" TargetMode="External"/><Relationship Id="rId7" Type="http://schemas.openxmlformats.org/officeDocument/2006/relationships/hyperlink" Target="http://www.konkoly.hu/cgi-bin/IBVS?5992" TargetMode="External"/><Relationship Id="rId12" Type="http://schemas.openxmlformats.org/officeDocument/2006/relationships/hyperlink" Target="http://www.konkoly.hu/cgi-bin/IBVS?6029" TargetMode="External"/><Relationship Id="rId2" Type="http://schemas.openxmlformats.org/officeDocument/2006/relationships/hyperlink" Target="http://var.astro.cz/oejv/issues/oejv0160.pdf" TargetMode="External"/><Relationship Id="rId16" Type="http://schemas.openxmlformats.org/officeDocument/2006/relationships/hyperlink" Target="http://vsolj.cetus-net.org/vsoljno50.pdf" TargetMode="External"/><Relationship Id="rId1" Type="http://schemas.openxmlformats.org/officeDocument/2006/relationships/hyperlink" Target="http://www.konkoly.hu/cgi-bin/IBVS?5690" TargetMode="External"/><Relationship Id="rId6" Type="http://schemas.openxmlformats.org/officeDocument/2006/relationships/hyperlink" Target="http://www.konkoly.hu/cgi-bin/IBVS?5992" TargetMode="External"/><Relationship Id="rId11" Type="http://schemas.openxmlformats.org/officeDocument/2006/relationships/hyperlink" Target="http://var.astro.cz/oejv/issues/oejv0160.pdf" TargetMode="External"/><Relationship Id="rId5" Type="http://schemas.openxmlformats.org/officeDocument/2006/relationships/hyperlink" Target="http://var.astro.cz/oejv/issues/oejv0160.pdf" TargetMode="External"/><Relationship Id="rId15" Type="http://schemas.openxmlformats.org/officeDocument/2006/relationships/hyperlink" Target="http://vsolj.cetus-net.org/vsoljno50.pdf" TargetMode="External"/><Relationship Id="rId10" Type="http://schemas.openxmlformats.org/officeDocument/2006/relationships/hyperlink" Target="http://var.astro.cz/oejv/issues/oejv0160.pdf" TargetMode="External"/><Relationship Id="rId4" Type="http://schemas.openxmlformats.org/officeDocument/2006/relationships/hyperlink" Target="http://var.astro.cz/oejv/issues/oejv0160.pdf" TargetMode="External"/><Relationship Id="rId9" Type="http://schemas.openxmlformats.org/officeDocument/2006/relationships/hyperlink" Target="http://var.astro.cz/oejv/issues/oejv0160.pdf" TargetMode="External"/><Relationship Id="rId14" Type="http://schemas.openxmlformats.org/officeDocument/2006/relationships/hyperlink" Target="http://vsolj.cetus-net.org/no4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8"/>
  <sheetViews>
    <sheetView tabSelected="1" workbookViewId="0">
      <pane xSplit="13" ySplit="22" topLeftCell="N47" activePane="bottomRight" state="frozen"/>
      <selection pane="topRight" activeCell="N1" sqref="N1"/>
      <selection pane="bottomLeft" activeCell="A23" sqref="A23"/>
      <selection pane="bottomRight" activeCell="F10" sqref="F10"/>
    </sheetView>
  </sheetViews>
  <sheetFormatPr defaultColWidth="10.28515625" defaultRowHeight="12.75" x14ac:dyDescent="0.2"/>
  <cols>
    <col min="1" max="1" width="18" style="1" customWidth="1"/>
    <col min="2" max="2" width="3.85546875" style="1" customWidth="1"/>
    <col min="3" max="3" width="11.85546875" style="1" customWidth="1"/>
    <col min="4" max="4" width="9.42578125" style="1" customWidth="1"/>
    <col min="5" max="5" width="9.85546875" style="1" customWidth="1"/>
    <col min="6" max="6" width="16.85546875" style="1" customWidth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1" customWidth="1"/>
    <col min="18" max="16384" width="10.28515625" style="1"/>
  </cols>
  <sheetData>
    <row r="1" spans="1:6" ht="20.25" x14ac:dyDescent="0.3">
      <c r="A1" s="2" t="s">
        <v>0</v>
      </c>
      <c r="E1" s="3" t="s">
        <v>1</v>
      </c>
      <c r="F1" s="1" t="s">
        <v>2</v>
      </c>
    </row>
    <row r="2" spans="1:6" x14ac:dyDescent="0.2">
      <c r="A2" s="1" t="s">
        <v>3</v>
      </c>
      <c r="B2" s="1" t="s">
        <v>4</v>
      </c>
      <c r="C2" s="4"/>
      <c r="D2" s="4"/>
      <c r="E2" s="1">
        <v>0</v>
      </c>
    </row>
    <row r="4" spans="1:6" x14ac:dyDescent="0.2">
      <c r="A4" s="5" t="s">
        <v>5</v>
      </c>
      <c r="C4" s="6">
        <v>52500.580999999998</v>
      </c>
      <c r="D4" s="7">
        <v>0.74960360000000004</v>
      </c>
    </row>
    <row r="5" spans="1:6" x14ac:dyDescent="0.2">
      <c r="A5" s="8" t="s">
        <v>6</v>
      </c>
      <c r="B5"/>
      <c r="C5" s="9">
        <v>-9.5</v>
      </c>
      <c r="D5" t="s">
        <v>7</v>
      </c>
    </row>
    <row r="6" spans="1:6" x14ac:dyDescent="0.2">
      <c r="A6" s="5" t="s">
        <v>8</v>
      </c>
    </row>
    <row r="7" spans="1:6" x14ac:dyDescent="0.2">
      <c r="A7" s="1" t="s">
        <v>9</v>
      </c>
      <c r="C7" s="10">
        <v>52500.580999999998</v>
      </c>
    </row>
    <row r="8" spans="1:6" x14ac:dyDescent="0.2">
      <c r="A8" s="1" t="s">
        <v>10</v>
      </c>
      <c r="C8" s="10">
        <v>0.74960360000000004</v>
      </c>
    </row>
    <row r="9" spans="1:6" x14ac:dyDescent="0.2">
      <c r="A9" s="11" t="s">
        <v>11</v>
      </c>
      <c r="B9" s="12">
        <v>48</v>
      </c>
      <c r="C9" s="13" t="str">
        <f>"F"&amp;B9</f>
        <v>F48</v>
      </c>
      <c r="D9" s="14" t="str">
        <f>"G"&amp;B9</f>
        <v>G48</v>
      </c>
    </row>
    <row r="10" spans="1:6" x14ac:dyDescent="0.2">
      <c r="A10"/>
      <c r="B10"/>
      <c r="C10" s="15" t="s">
        <v>12</v>
      </c>
      <c r="D10" s="15" t="s">
        <v>13</v>
      </c>
      <c r="E10"/>
    </row>
    <row r="11" spans="1:6" x14ac:dyDescent="0.2">
      <c r="A11" t="s">
        <v>14</v>
      </c>
      <c r="B11"/>
      <c r="C11" s="16">
        <f ca="1">INTERCEPT(INDIRECT($D$9):G992,INDIRECT($C$9):F992)</f>
        <v>2.1938535044651415E-3</v>
      </c>
      <c r="D11" s="4"/>
      <c r="E11"/>
    </row>
    <row r="12" spans="1:6" x14ac:dyDescent="0.2">
      <c r="A12" t="s">
        <v>15</v>
      </c>
      <c r="B12"/>
      <c r="C12" s="16">
        <f ca="1">SLOPE(INDIRECT($D$9):G992,INDIRECT($C$9):F992)</f>
        <v>6.1497903035619196E-7</v>
      </c>
      <c r="D12" s="4"/>
      <c r="E12"/>
    </row>
    <row r="13" spans="1:6" x14ac:dyDescent="0.2">
      <c r="A13" t="s">
        <v>16</v>
      </c>
      <c r="B13"/>
      <c r="C13" s="4" t="s">
        <v>17</v>
      </c>
    </row>
    <row r="14" spans="1:6" x14ac:dyDescent="0.2">
      <c r="A14"/>
      <c r="B14"/>
      <c r="C14"/>
    </row>
    <row r="15" spans="1:6" x14ac:dyDescent="0.2">
      <c r="A15" s="17" t="s">
        <v>18</v>
      </c>
      <c r="B15"/>
      <c r="C15" s="18">
        <f ca="1">(C7+C11)+(C8+C12)*INT(MAX(F21:F3533))</f>
        <v>59362.460177771551</v>
      </c>
      <c r="E15" s="19" t="s">
        <v>19</v>
      </c>
      <c r="F15" s="9">
        <v>1</v>
      </c>
    </row>
    <row r="16" spans="1:6" x14ac:dyDescent="0.2">
      <c r="A16" s="17" t="s">
        <v>20</v>
      </c>
      <c r="B16"/>
      <c r="C16" s="18">
        <f ca="1">+C8+C12</f>
        <v>0.7496042149790304</v>
      </c>
      <c r="E16" s="19" t="s">
        <v>21</v>
      </c>
      <c r="F16" s="16">
        <f ca="1">NOW()+15018.5+$C$5/24</f>
        <v>59969.858740740739</v>
      </c>
    </row>
    <row r="17" spans="1:21" x14ac:dyDescent="0.2">
      <c r="A17" s="19" t="s">
        <v>22</v>
      </c>
      <c r="B17"/>
      <c r="C17">
        <f>COUNT(C21:C2191)</f>
        <v>48</v>
      </c>
      <c r="E17" s="19" t="s">
        <v>23</v>
      </c>
      <c r="F17" s="16">
        <f ca="1">ROUND(2*(F16-$C$7)/$C$8,0)/2+F15</f>
        <v>9965.5</v>
      </c>
    </row>
    <row r="18" spans="1:21" x14ac:dyDescent="0.2">
      <c r="A18" s="17" t="s">
        <v>24</v>
      </c>
      <c r="B18"/>
      <c r="C18" s="20">
        <f ca="1">+C15</f>
        <v>59362.460177771551</v>
      </c>
      <c r="D18" s="21">
        <f ca="1">+C16</f>
        <v>0.7496042149790304</v>
      </c>
      <c r="E18" s="19" t="s">
        <v>25</v>
      </c>
      <c r="F18" s="14">
        <f ca="1">ROUND(2*(F16-$C$15)/$C$16,0)/2+F15</f>
        <v>811.5</v>
      </c>
    </row>
    <row r="19" spans="1:21" x14ac:dyDescent="0.2">
      <c r="E19" s="19" t="s">
        <v>26</v>
      </c>
      <c r="F19" s="22">
        <f ca="1">+$C$15+$C$16*F18-15018.5-$C$5/24</f>
        <v>44952.65983156037</v>
      </c>
    </row>
    <row r="20" spans="1:21" x14ac:dyDescent="0.2">
      <c r="A20" s="15" t="s">
        <v>27</v>
      </c>
      <c r="B20" s="15" t="s">
        <v>28</v>
      </c>
      <c r="C20" s="15" t="s">
        <v>29</v>
      </c>
      <c r="D20" s="15" t="s">
        <v>30</v>
      </c>
      <c r="E20" s="15" t="s">
        <v>31</v>
      </c>
      <c r="F20" s="15" t="s">
        <v>32</v>
      </c>
      <c r="G20" s="15" t="s">
        <v>33</v>
      </c>
      <c r="H20" s="23" t="s">
        <v>34</v>
      </c>
      <c r="I20" s="23" t="s">
        <v>35</v>
      </c>
      <c r="J20" s="23" t="s">
        <v>36</v>
      </c>
      <c r="K20" s="23" t="s">
        <v>37</v>
      </c>
      <c r="L20" s="23" t="s">
        <v>38</v>
      </c>
      <c r="M20" s="23" t="s">
        <v>39</v>
      </c>
      <c r="N20" s="23" t="s">
        <v>40</v>
      </c>
      <c r="O20" s="23" t="s">
        <v>41</v>
      </c>
      <c r="P20" s="23" t="s">
        <v>42</v>
      </c>
      <c r="Q20" s="15" t="s">
        <v>43</v>
      </c>
      <c r="U20" s="24" t="s">
        <v>44</v>
      </c>
    </row>
    <row r="21" spans="1:21" x14ac:dyDescent="0.2">
      <c r="A21" s="25" t="s">
        <v>45</v>
      </c>
      <c r="B21" s="26" t="s">
        <v>46</v>
      </c>
      <c r="C21" s="27">
        <v>27841.671999999999</v>
      </c>
      <c r="D21" s="10"/>
      <c r="E21" s="1">
        <f>+(C21-C$7)/C$8</f>
        <v>-32895.931929889339</v>
      </c>
      <c r="F21" s="1">
        <f>ROUND(2*E21,0)/2</f>
        <v>-32896</v>
      </c>
      <c r="G21" s="1">
        <f>+C21-(C$7+F21*C$8)</f>
        <v>5.1025600001594285E-2</v>
      </c>
      <c r="H21" s="1">
        <f>+G21</f>
        <v>5.1025600001594285E-2</v>
      </c>
      <c r="O21" s="1">
        <f ca="1">+C$11+C$12*$F21</f>
        <v>-1.8036496678132147E-2</v>
      </c>
      <c r="Q21" s="54">
        <f>+C21-15018.5</f>
        <v>12823.171999999999</v>
      </c>
    </row>
    <row r="22" spans="1:21" x14ac:dyDescent="0.2">
      <c r="A22" s="25" t="s">
        <v>45</v>
      </c>
      <c r="B22" s="26" t="s">
        <v>46</v>
      </c>
      <c r="C22" s="27">
        <v>28249.526000000002</v>
      </c>
      <c r="D22" s="10"/>
      <c r="E22" s="1">
        <f>+(C22-C$7)/C$8</f>
        <v>-32351.83902531951</v>
      </c>
      <c r="F22" s="1">
        <f>ROUND(2*E22,0)/2</f>
        <v>-32352</v>
      </c>
      <c r="G22" s="1">
        <f>+C22-(C$7+F22*C$8)</f>
        <v>0.12066720000439091</v>
      </c>
      <c r="H22" s="1">
        <f>+G22</f>
        <v>0.12066720000439091</v>
      </c>
      <c r="O22" s="1">
        <f ca="1">+C$11+C$12*$F22</f>
        <v>-1.7701948085618379E-2</v>
      </c>
      <c r="Q22" s="54">
        <f>+C22-15018.5</f>
        <v>13231.026000000002</v>
      </c>
    </row>
    <row r="23" spans="1:21" x14ac:dyDescent="0.2">
      <c r="A23" s="25" t="s">
        <v>45</v>
      </c>
      <c r="B23" s="26" t="s">
        <v>46</v>
      </c>
      <c r="C23" s="27">
        <v>28270.467000000001</v>
      </c>
      <c r="D23" s="10"/>
      <c r="E23" s="1">
        <f>+(C23-C$7)/C$8</f>
        <v>-32323.902926826922</v>
      </c>
      <c r="F23" s="1">
        <f>ROUND(2*E23,0)/2</f>
        <v>-32324</v>
      </c>
      <c r="G23" s="1">
        <f>+C23-(C$7+F23*C$8)</f>
        <v>7.2766400004184106E-2</v>
      </c>
      <c r="H23" s="1">
        <f>+G23</f>
        <v>7.2766400004184106E-2</v>
      </c>
      <c r="O23" s="1">
        <f ca="1">+C$11+C$12*$F23</f>
        <v>-1.7684728672768407E-2</v>
      </c>
      <c r="Q23" s="54">
        <f>+C23-15018.5</f>
        <v>13251.967000000001</v>
      </c>
    </row>
    <row r="24" spans="1:21" x14ac:dyDescent="0.2">
      <c r="A24" s="25" t="s">
        <v>45</v>
      </c>
      <c r="B24" s="26" t="s">
        <v>46</v>
      </c>
      <c r="C24" s="27">
        <v>28626.505000000001</v>
      </c>
      <c r="D24" s="10"/>
      <c r="E24" s="1">
        <f>+(C24-C$7)/C$8</f>
        <v>-31848.93455687779</v>
      </c>
      <c r="F24" s="1">
        <f>ROUND(2*E24,0)/2</f>
        <v>-31849</v>
      </c>
      <c r="G24" s="1">
        <f>+C24-(C$7+F24*C$8)</f>
        <v>4.9056400002882583E-2</v>
      </c>
      <c r="H24" s="1">
        <f>+G24</f>
        <v>4.9056400002882583E-2</v>
      </c>
      <c r="O24" s="1">
        <f ca="1">+C$11+C$12*$F24</f>
        <v>-1.7392613633349215E-2</v>
      </c>
      <c r="Q24" s="54">
        <f>+C24-15018.5</f>
        <v>13608.005000000001</v>
      </c>
    </row>
    <row r="25" spans="1:21" x14ac:dyDescent="0.2">
      <c r="A25" s="25" t="s">
        <v>45</v>
      </c>
      <c r="B25" s="26" t="s">
        <v>46</v>
      </c>
      <c r="C25" s="27">
        <v>28629.494999999999</v>
      </c>
      <c r="D25" s="10"/>
      <c r="E25" s="1">
        <f>+(C25-C$7)/C$8</f>
        <v>-31844.945782010651</v>
      </c>
      <c r="F25" s="1">
        <f>ROUND(2*E25,0)/2</f>
        <v>-31845</v>
      </c>
      <c r="G25" s="1">
        <f>+C25-(C$7+F25*C$8)</f>
        <v>4.0642000003572321E-2</v>
      </c>
      <c r="H25" s="1">
        <f>+G25</f>
        <v>4.0642000003572321E-2</v>
      </c>
      <c r="O25" s="1">
        <f ca="1">+C$11+C$12*$F25</f>
        <v>-1.739015371722779E-2</v>
      </c>
      <c r="Q25" s="54">
        <f>+C25-15018.5</f>
        <v>13610.994999999999</v>
      </c>
    </row>
    <row r="26" spans="1:21" x14ac:dyDescent="0.2">
      <c r="A26" s="25" t="s">
        <v>45</v>
      </c>
      <c r="B26" s="26" t="s">
        <v>46</v>
      </c>
      <c r="C26" s="27">
        <v>28635.469000000001</v>
      </c>
      <c r="D26" s="10"/>
      <c r="E26" s="1">
        <f>+(C26-C$7)/C$8</f>
        <v>-31836.976236506864</v>
      </c>
      <c r="F26" s="1">
        <f>ROUND(2*E26,0)/2</f>
        <v>-31837</v>
      </c>
      <c r="G26" s="1">
        <f>+C26-(C$7+F26*C$8)</f>
        <v>1.7813200003729435E-2</v>
      </c>
      <c r="H26" s="1">
        <f>+G26</f>
        <v>1.7813200003729435E-2</v>
      </c>
      <c r="O26" s="1">
        <f ca="1">+C$11+C$12*$F26</f>
        <v>-1.7385233884984939E-2</v>
      </c>
      <c r="Q26" s="54">
        <f>+C26-15018.5</f>
        <v>13616.969000000001</v>
      </c>
    </row>
    <row r="27" spans="1:21" x14ac:dyDescent="0.2">
      <c r="A27" s="25" t="s">
        <v>45</v>
      </c>
      <c r="B27" s="26" t="s">
        <v>46</v>
      </c>
      <c r="C27" s="27">
        <v>29646.681</v>
      </c>
      <c r="D27" s="10"/>
      <c r="E27" s="1">
        <f>+(C27-C$7)/C$8</f>
        <v>-30487.980580669566</v>
      </c>
      <c r="F27" s="1">
        <f>ROUND(2*E27,0)/2</f>
        <v>-30488</v>
      </c>
      <c r="G27" s="1">
        <f>+C27-(C$7+F27*C$8)</f>
        <v>1.4556800004356774E-2</v>
      </c>
      <c r="H27" s="1">
        <f>+G27</f>
        <v>1.4556800004356774E-2</v>
      </c>
      <c r="O27" s="1">
        <f ca="1">+C$11+C$12*$F27</f>
        <v>-1.6555627173034437E-2</v>
      </c>
      <c r="Q27" s="54">
        <f>+C27-15018.5</f>
        <v>14628.181</v>
      </c>
    </row>
    <row r="28" spans="1:21" x14ac:dyDescent="0.2">
      <c r="A28" s="25" t="s">
        <v>45</v>
      </c>
      <c r="B28" s="26" t="s">
        <v>47</v>
      </c>
      <c r="C28" s="27">
        <v>29726.504000000001</v>
      </c>
      <c r="D28" s="10"/>
      <c r="E28" s="1">
        <f>+(C28-C$7)/C$8</f>
        <v>-30381.493632101014</v>
      </c>
      <c r="F28" s="1">
        <f>ROUND(2*E28,0)/2</f>
        <v>-30381.5</v>
      </c>
      <c r="G28" s="1">
        <f>+C28-(C$7+F28*C$8)</f>
        <v>4.7734000036143698E-3</v>
      </c>
      <c r="H28" s="1">
        <f>+G28</f>
        <v>4.7734000036143698E-3</v>
      </c>
      <c r="O28" s="1">
        <f ca="1">+C$11+C$12*$F28</f>
        <v>-1.6490131906301504E-2</v>
      </c>
      <c r="Q28" s="54">
        <f>+C28-15018.5</f>
        <v>14708.004000000001</v>
      </c>
    </row>
    <row r="29" spans="1:21" x14ac:dyDescent="0.2">
      <c r="A29" s="25" t="s">
        <v>45</v>
      </c>
      <c r="B29" s="26" t="s">
        <v>46</v>
      </c>
      <c r="C29" s="27">
        <v>38475.500999999997</v>
      </c>
      <c r="D29" s="10"/>
      <c r="E29" s="1">
        <f>+(C29-C$7)/C$8</f>
        <v>-18709.995522967074</v>
      </c>
      <c r="F29" s="1">
        <f>ROUND(2*E29,0)/2</f>
        <v>-18710</v>
      </c>
      <c r="G29" s="1">
        <f>+C29-(C$7+F29*C$8)</f>
        <v>3.3560000010766089E-3</v>
      </c>
      <c r="H29" s="1">
        <f>+G29</f>
        <v>3.3560000010766089E-3</v>
      </c>
      <c r="O29" s="1">
        <f ca="1">+C$11+C$12*$F29</f>
        <v>-9.3124041534992097E-3</v>
      </c>
      <c r="Q29" s="54">
        <f>+C29-15018.5</f>
        <v>23457.000999999997</v>
      </c>
    </row>
    <row r="30" spans="1:21" x14ac:dyDescent="0.2">
      <c r="A30" s="25" t="s">
        <v>45</v>
      </c>
      <c r="B30" s="26" t="s">
        <v>46</v>
      </c>
      <c r="C30" s="27">
        <v>38493.46</v>
      </c>
      <c r="D30" s="10"/>
      <c r="E30" s="1">
        <f>+(C30-C$7)/C$8</f>
        <v>-18686.037527034285</v>
      </c>
      <c r="F30" s="1">
        <f>ROUND(2*E30,0)/2</f>
        <v>-18686</v>
      </c>
      <c r="G30" s="1">
        <f>+C30-(C$7+F30*C$8)</f>
        <v>-2.8130400001828093E-2</v>
      </c>
      <c r="H30" s="1">
        <f>+G30</f>
        <v>-2.8130400001828093E-2</v>
      </c>
      <c r="O30" s="1">
        <f ca="1">+C$11+C$12*$F30</f>
        <v>-9.2976446567706629E-3</v>
      </c>
      <c r="Q30" s="54">
        <f>+C30-15018.5</f>
        <v>23474.959999999999</v>
      </c>
    </row>
    <row r="31" spans="1:21" x14ac:dyDescent="0.2">
      <c r="A31" s="25" t="s">
        <v>45</v>
      </c>
      <c r="B31" s="26" t="s">
        <v>46</v>
      </c>
      <c r="C31" s="27">
        <v>38505.440000000002</v>
      </c>
      <c r="D31" s="10"/>
      <c r="E31" s="1">
        <f>+(C31-C$7)/C$8</f>
        <v>-18670.055746797367</v>
      </c>
      <c r="F31" s="1">
        <f>ROUND(2*E31,0)/2</f>
        <v>-18670</v>
      </c>
      <c r="G31" s="1">
        <f>+C31-(C$7+F31*C$8)</f>
        <v>-4.1787999994994607E-2</v>
      </c>
      <c r="H31" s="1">
        <f>+G31</f>
        <v>-4.1787999994994607E-2</v>
      </c>
      <c r="O31" s="1">
        <f ca="1">+C$11+C$12*$F31</f>
        <v>-9.2878049922849627E-3</v>
      </c>
      <c r="Q31" s="54">
        <f>+C31-15018.5</f>
        <v>23486.940000000002</v>
      </c>
    </row>
    <row r="32" spans="1:21" x14ac:dyDescent="0.2">
      <c r="A32" s="25" t="s">
        <v>45</v>
      </c>
      <c r="B32" s="26" t="s">
        <v>46</v>
      </c>
      <c r="C32" s="27">
        <v>38581.201000000001</v>
      </c>
      <c r="D32" s="10"/>
      <c r="E32" s="1">
        <f>+(C32-C$7)/C$8</f>
        <v>-18568.987662279098</v>
      </c>
      <c r="F32" s="1">
        <f>ROUND(2*E32,0)/2</f>
        <v>-18569</v>
      </c>
      <c r="G32" s="1">
        <f>+C32-(C$7+F32*C$8)</f>
        <v>9.2484000051626936E-3</v>
      </c>
      <c r="H32" s="1">
        <f>+G32</f>
        <v>9.2484000051626936E-3</v>
      </c>
      <c r="O32" s="1">
        <f ca="1">+C$11+C$12*$F32</f>
        <v>-9.2256921102189873E-3</v>
      </c>
      <c r="Q32" s="54">
        <f>+C32-15018.5</f>
        <v>23562.701000000001</v>
      </c>
    </row>
    <row r="33" spans="1:17" x14ac:dyDescent="0.2">
      <c r="A33" s="25" t="s">
        <v>45</v>
      </c>
      <c r="B33" s="26" t="s">
        <v>46</v>
      </c>
      <c r="C33" s="27">
        <v>38584.201999999997</v>
      </c>
      <c r="D33" s="10"/>
      <c r="E33" s="1">
        <f>+(C33-C$7)/C$8</f>
        <v>-18564.984212989373</v>
      </c>
      <c r="F33" s="1">
        <f>ROUND(2*E33,0)/2</f>
        <v>-18565</v>
      </c>
      <c r="G33" s="1">
        <f>+C33-(C$7+F33*C$8)</f>
        <v>1.183399999717949E-2</v>
      </c>
      <c r="H33" s="1">
        <f>+G33</f>
        <v>1.183399999717949E-2</v>
      </c>
      <c r="O33" s="1">
        <f ca="1">+C$11+C$12*$F33</f>
        <v>-9.2232321940975623E-3</v>
      </c>
      <c r="Q33" s="54">
        <f>+C33-15018.5</f>
        <v>23565.701999999997</v>
      </c>
    </row>
    <row r="34" spans="1:17" x14ac:dyDescent="0.2">
      <c r="A34" s="25" t="s">
        <v>45</v>
      </c>
      <c r="B34" s="26" t="s">
        <v>46</v>
      </c>
      <c r="C34" s="27">
        <v>38587.205999999998</v>
      </c>
      <c r="D34" s="10"/>
      <c r="E34" s="1">
        <f>+(C34-C$7)/C$8</f>
        <v>-18560.976761584388</v>
      </c>
      <c r="F34" s="1">
        <f>ROUND(2*E34,0)/2</f>
        <v>-18561</v>
      </c>
      <c r="G34" s="1">
        <f>+C34-(C$7+F34*C$8)</f>
        <v>1.7419600000721402E-2</v>
      </c>
      <c r="H34" s="1">
        <f>+G34</f>
        <v>1.7419600000721402E-2</v>
      </c>
      <c r="O34" s="1">
        <f ca="1">+C$11+C$12*$F34</f>
        <v>-9.2207722779761372E-3</v>
      </c>
      <c r="Q34" s="54">
        <f>+C34-15018.5</f>
        <v>23568.705999999998</v>
      </c>
    </row>
    <row r="35" spans="1:17" x14ac:dyDescent="0.2">
      <c r="A35" s="25" t="s">
        <v>45</v>
      </c>
      <c r="B35" s="26" t="s">
        <v>46</v>
      </c>
      <c r="C35" s="27">
        <v>38590.203999999998</v>
      </c>
      <c r="D35" s="10"/>
      <c r="E35" s="1">
        <f>+(C35-C$7)/C$8</f>
        <v>-18556.977314409909</v>
      </c>
      <c r="F35" s="1">
        <f>ROUND(2*E35,0)/2</f>
        <v>-18557</v>
      </c>
      <c r="G35" s="1">
        <f>+C35-(C$7+F35*C$8)</f>
        <v>1.7005200003040954E-2</v>
      </c>
      <c r="H35" s="1">
        <f>+G35</f>
        <v>1.7005200003040954E-2</v>
      </c>
      <c r="O35" s="1">
        <f ca="1">+C$11+C$12*$F35</f>
        <v>-9.2183123618547122E-3</v>
      </c>
      <c r="Q35" s="54">
        <f>+C35-15018.5</f>
        <v>23571.703999999998</v>
      </c>
    </row>
    <row r="36" spans="1:17" x14ac:dyDescent="0.2">
      <c r="A36" s="25" t="s">
        <v>45</v>
      </c>
      <c r="B36" s="26" t="s">
        <v>46</v>
      </c>
      <c r="C36" s="27">
        <v>38916.298999999999</v>
      </c>
      <c r="D36" s="10"/>
      <c r="E36" s="1">
        <f>+(C36-C$7)/C$8</f>
        <v>-18121.954056784143</v>
      </c>
      <c r="F36" s="1">
        <f>ROUND(2*E36,0)/2</f>
        <v>-18122</v>
      </c>
      <c r="G36" s="1">
        <f>+C36-(C$7+F36*C$8)</f>
        <v>3.443919999699574E-2</v>
      </c>
      <c r="H36" s="1">
        <f>+G36</f>
        <v>3.443919999699574E-2</v>
      </c>
      <c r="O36" s="1">
        <f ca="1">+C$11+C$12*$F36</f>
        <v>-8.95079648364977E-3</v>
      </c>
      <c r="Q36" s="54">
        <f>+C36-15018.5</f>
        <v>23897.798999999999</v>
      </c>
    </row>
    <row r="37" spans="1:17" x14ac:dyDescent="0.2">
      <c r="A37" s="25" t="s">
        <v>45</v>
      </c>
      <c r="B37" s="26" t="s">
        <v>46</v>
      </c>
      <c r="C37" s="27">
        <v>38934.254999999997</v>
      </c>
      <c r="D37" s="10"/>
      <c r="E37" s="1">
        <f>+(C37-C$7)/C$8</f>
        <v>-18098.000062966614</v>
      </c>
      <c r="F37" s="1">
        <f>ROUND(2*E37,0)/2</f>
        <v>-18098</v>
      </c>
      <c r="G37" s="1">
        <f>+C37-(C$7+F37*C$8)</f>
        <v>-4.7200002882163972E-5</v>
      </c>
      <c r="H37" s="1">
        <f>+G37</f>
        <v>-4.7200002882163972E-5</v>
      </c>
      <c r="O37" s="1">
        <f ca="1">+C$11+C$12*$F37</f>
        <v>-8.9360369869212197E-3</v>
      </c>
      <c r="Q37" s="54">
        <f>+C37-15018.5</f>
        <v>23915.754999999997</v>
      </c>
    </row>
    <row r="38" spans="1:17" x14ac:dyDescent="0.2">
      <c r="A38" s="25" t="s">
        <v>45</v>
      </c>
      <c r="B38" s="26" t="s">
        <v>46</v>
      </c>
      <c r="C38" s="27">
        <v>38940.230000000003</v>
      </c>
      <c r="D38" s="10"/>
      <c r="E38" s="1">
        <f>+(C38-C$7)/C$8</f>
        <v>-18090.029183424405</v>
      </c>
      <c r="F38" s="1">
        <f>ROUND(2*E38,0)/2</f>
        <v>-18090</v>
      </c>
      <c r="G38" s="1">
        <f>+C38-(C$7+F38*C$8)</f>
        <v>-2.1875999991607387E-2</v>
      </c>
      <c r="H38" s="1">
        <f>+G38</f>
        <v>-2.1875999991607387E-2</v>
      </c>
      <c r="O38" s="1">
        <f ca="1">+C$11+C$12*$F38</f>
        <v>-8.9311171546783696E-3</v>
      </c>
      <c r="Q38" s="54">
        <f>+C38-15018.5</f>
        <v>23921.730000000003</v>
      </c>
    </row>
    <row r="39" spans="1:17" x14ac:dyDescent="0.2">
      <c r="A39" s="25" t="s">
        <v>45</v>
      </c>
      <c r="B39" s="26" t="s">
        <v>46</v>
      </c>
      <c r="C39" s="27">
        <v>38943.241000000002</v>
      </c>
      <c r="D39" s="10"/>
      <c r="E39" s="1">
        <f>+(C39-C$7)/C$8</f>
        <v>-18086.012393750505</v>
      </c>
      <c r="F39" s="1">
        <f>ROUND(2*E39,0)/2</f>
        <v>-18086</v>
      </c>
      <c r="G39" s="1">
        <f>+C39-(C$7+F39*C$8)</f>
        <v>-9.2903999975533225E-3</v>
      </c>
      <c r="H39" s="1">
        <f>+G39</f>
        <v>-9.2903999975533225E-3</v>
      </c>
      <c r="O39" s="1">
        <f ca="1">+C$11+C$12*$F39</f>
        <v>-8.9286572385569446E-3</v>
      </c>
      <c r="Q39" s="54">
        <f>+C39-15018.5</f>
        <v>23924.741000000002</v>
      </c>
    </row>
    <row r="40" spans="1:17" x14ac:dyDescent="0.2">
      <c r="A40" s="25" t="s">
        <v>45</v>
      </c>
      <c r="B40" s="26" t="s">
        <v>46</v>
      </c>
      <c r="C40" s="27">
        <v>39269.330999999998</v>
      </c>
      <c r="D40" s="10"/>
      <c r="E40" s="1">
        <f>+(C40-C$7)/C$8</f>
        <v>-17650.995806316831</v>
      </c>
      <c r="F40" s="1">
        <f>ROUND(2*E40,0)/2</f>
        <v>-17651</v>
      </c>
      <c r="G40" s="1">
        <f>+C40-(C$7+F40*C$8)</f>
        <v>3.1435999990208074E-3</v>
      </c>
      <c r="H40" s="1">
        <f>+G40</f>
        <v>3.1435999990208074E-3</v>
      </c>
      <c r="O40" s="1">
        <f ca="1">+C$11+C$12*$F40</f>
        <v>-8.6611413603520024E-3</v>
      </c>
      <c r="Q40" s="54">
        <f>+C40-15018.5</f>
        <v>24250.830999999998</v>
      </c>
    </row>
    <row r="41" spans="1:17" x14ac:dyDescent="0.2">
      <c r="A41" s="25" t="s">
        <v>45</v>
      </c>
      <c r="B41" s="26" t="s">
        <v>46</v>
      </c>
      <c r="C41" s="27">
        <v>39613.383999999998</v>
      </c>
      <c r="D41" s="10"/>
      <c r="E41" s="1">
        <f>+(C41-C$7)/C$8</f>
        <v>-17192.0158867967</v>
      </c>
      <c r="F41" s="1">
        <f>ROUND(2*E41,0)/2</f>
        <v>-17192</v>
      </c>
      <c r="G41" s="1">
        <f>+C41-(C$7+F41*C$8)</f>
        <v>-1.19087999992189E-2</v>
      </c>
      <c r="H41" s="1">
        <f>+G41</f>
        <v>-1.19087999992189E-2</v>
      </c>
      <c r="O41" s="1">
        <f ca="1">+C$11+C$12*$F41</f>
        <v>-8.3788659854185099E-3</v>
      </c>
      <c r="Q41" s="54">
        <f>+C41-15018.5</f>
        <v>24594.883999999998</v>
      </c>
    </row>
    <row r="42" spans="1:17" x14ac:dyDescent="0.2">
      <c r="A42" s="25" t="s">
        <v>45</v>
      </c>
      <c r="B42" s="26" t="s">
        <v>47</v>
      </c>
      <c r="C42" s="27">
        <v>41443.947999999997</v>
      </c>
      <c r="D42" s="10"/>
      <c r="E42" s="1">
        <f>+(C42-C$7)/C$8</f>
        <v>-14749.973185827817</v>
      </c>
      <c r="F42" s="1">
        <f>ROUND(2*E42,0)/2</f>
        <v>-14750</v>
      </c>
      <c r="G42" s="1">
        <f>+C42-(C$7+F42*C$8)</f>
        <v>2.0100000001548324E-2</v>
      </c>
      <c r="H42" s="1">
        <f>+G42</f>
        <v>2.0100000001548324E-2</v>
      </c>
      <c r="O42" s="1">
        <f ca="1">+C$11+C$12*$F42</f>
        <v>-6.8770871932886902E-3</v>
      </c>
      <c r="Q42" s="54">
        <f>+C42-15018.5</f>
        <v>26425.447999999997</v>
      </c>
    </row>
    <row r="43" spans="1:17" x14ac:dyDescent="0.2">
      <c r="A43" s="1" t="s">
        <v>52</v>
      </c>
      <c r="C43" s="10">
        <v>52500.580999999998</v>
      </c>
      <c r="D43" s="10" t="s">
        <v>17</v>
      </c>
      <c r="E43" s="1">
        <f>+(C43-C$7)/C$8</f>
        <v>0</v>
      </c>
      <c r="F43" s="1">
        <f>ROUND(2*E43,0)/2</f>
        <v>0</v>
      </c>
      <c r="G43" s="1">
        <f>+C43-(C$7+F43*C$8)</f>
        <v>0</v>
      </c>
      <c r="I43" s="1">
        <f>+G43</f>
        <v>0</v>
      </c>
      <c r="O43" s="1">
        <f ca="1">+C$11+C$12*$F43</f>
        <v>2.1938535044651415E-3</v>
      </c>
      <c r="Q43" s="54">
        <f>+C43-15018.5</f>
        <v>37482.080999999998</v>
      </c>
    </row>
    <row r="44" spans="1:17" x14ac:dyDescent="0.2">
      <c r="A44" s="28" t="s">
        <v>48</v>
      </c>
      <c r="B44" s="29" t="s">
        <v>46</v>
      </c>
      <c r="C44" s="28">
        <v>53538.782099999997</v>
      </c>
      <c r="D44" s="28">
        <v>2.0000000000000001E-4</v>
      </c>
      <c r="E44" s="1">
        <f>+(C44-C$7)/C$8</f>
        <v>1385.0001520803773</v>
      </c>
      <c r="F44" s="1">
        <f>ROUND(2*E44,0)/2</f>
        <v>1385</v>
      </c>
      <c r="G44" s="1">
        <f>+C44-(C$7+F44*C$8)</f>
        <v>1.1399999493733048E-4</v>
      </c>
      <c r="K44" s="1">
        <f>+G44</f>
        <v>1.1399999493733048E-4</v>
      </c>
      <c r="O44" s="1">
        <f ca="1">+C$11+C$12*$F44</f>
        <v>3.0455994615084673E-3</v>
      </c>
      <c r="Q44" s="54">
        <f>+C44-15018.5</f>
        <v>38520.282099999997</v>
      </c>
    </row>
    <row r="45" spans="1:17" x14ac:dyDescent="0.2">
      <c r="A45" s="25" t="s">
        <v>55</v>
      </c>
      <c r="B45" s="26" t="s">
        <v>47</v>
      </c>
      <c r="C45" s="27">
        <v>53834.126400000001</v>
      </c>
      <c r="D45" s="10"/>
      <c r="E45" s="1">
        <f>+(C45-C$7)/C$8</f>
        <v>1779.0007945532848</v>
      </c>
      <c r="F45" s="1">
        <f>ROUND(2*E45,0)/2</f>
        <v>1779</v>
      </c>
      <c r="G45" s="1">
        <f>+C45-(C$7+F45*C$8)</f>
        <v>5.9560000227065757E-4</v>
      </c>
      <c r="K45" s="1">
        <f>+G45</f>
        <v>5.9560000227065757E-4</v>
      </c>
      <c r="O45" s="1">
        <f ca="1">+C$11+C$12*$F45</f>
        <v>3.2879011994688071E-3</v>
      </c>
      <c r="Q45" s="54">
        <f>+C45-15018.5</f>
        <v>38815.626400000001</v>
      </c>
    </row>
    <row r="46" spans="1:17" x14ac:dyDescent="0.2">
      <c r="A46" s="25" t="s">
        <v>55</v>
      </c>
      <c r="B46" s="26" t="s">
        <v>46</v>
      </c>
      <c r="C46" s="27">
        <v>53847.247100000001</v>
      </c>
      <c r="D46" s="10"/>
      <c r="E46" s="1">
        <f>+(C46-C$7)/C$8</f>
        <v>1796.50431241259</v>
      </c>
      <c r="F46" s="1">
        <f>ROUND(2*E46,0)/2</f>
        <v>1796.5</v>
      </c>
      <c r="G46" s="1">
        <f>+C46-(C$7+F46*C$8)</f>
        <v>3.2326000000466593E-3</v>
      </c>
      <c r="K46" s="1">
        <f>+G46</f>
        <v>3.2326000000466593E-3</v>
      </c>
      <c r="O46" s="1">
        <f ca="1">+C$11+C$12*$F46</f>
        <v>3.2986633325000404E-3</v>
      </c>
      <c r="Q46" s="54">
        <f>+C46-15018.5</f>
        <v>38828.747100000001</v>
      </c>
    </row>
    <row r="47" spans="1:17" x14ac:dyDescent="0.2">
      <c r="A47" s="25" t="s">
        <v>56</v>
      </c>
      <c r="B47" s="26" t="s">
        <v>47</v>
      </c>
      <c r="C47" s="27">
        <v>54848.340900000003</v>
      </c>
      <c r="D47" s="10"/>
      <c r="E47" s="1">
        <f>+(C47-C$7)/C$8</f>
        <v>3132.0019007379428</v>
      </c>
      <c r="F47" s="1">
        <f>ROUND(2*E47,0)/2</f>
        <v>3132</v>
      </c>
      <c r="G47" s="1">
        <f>+C47-(C$7+F47*C$8)</f>
        <v>1.4248000006773509E-3</v>
      </c>
      <c r="K47" s="1">
        <f>+G47</f>
        <v>1.4248000006773509E-3</v>
      </c>
      <c r="O47" s="1">
        <f ca="1">+C$11+C$12*$F47</f>
        <v>4.1199678275407343E-3</v>
      </c>
      <c r="Q47" s="54">
        <f>+C47-15018.5</f>
        <v>39829.840900000003</v>
      </c>
    </row>
    <row r="48" spans="1:17" x14ac:dyDescent="0.2">
      <c r="A48" s="25" t="s">
        <v>56</v>
      </c>
      <c r="B48" s="26" t="s">
        <v>47</v>
      </c>
      <c r="C48" s="27">
        <v>54954.036500000002</v>
      </c>
      <c r="D48" s="10"/>
      <c r="E48" s="1">
        <f>+(C48-C$7)/C$8</f>
        <v>3273.0038916568751</v>
      </c>
      <c r="F48" s="1">
        <f>ROUND(2*E48,0)/2</f>
        <v>3273</v>
      </c>
      <c r="G48" s="1">
        <f>+C48-(C$7+F48*C$8)</f>
        <v>2.9172000067774206E-3</v>
      </c>
      <c r="K48" s="1">
        <f>+G48</f>
        <v>2.9172000067774206E-3</v>
      </c>
      <c r="O48" s="1">
        <f ca="1">+C$11+C$12*$F48</f>
        <v>4.2066798708209584E-3</v>
      </c>
      <c r="Q48" s="54">
        <f>+C48-15018.5</f>
        <v>39935.536500000002</v>
      </c>
    </row>
    <row r="49" spans="1:17" x14ac:dyDescent="0.2">
      <c r="A49" s="34" t="s">
        <v>53</v>
      </c>
      <c r="B49" s="31" t="s">
        <v>47</v>
      </c>
      <c r="C49" s="30">
        <v>55627.556449999996</v>
      </c>
      <c r="D49" s="30">
        <v>5.9999999999999995E-4</v>
      </c>
      <c r="E49" s="1">
        <f>+(C49-C$7)/C$8</f>
        <v>4171.5053796433185</v>
      </c>
      <c r="F49" s="1">
        <f>ROUND(2*E49,0)/2</f>
        <v>4171.5</v>
      </c>
      <c r="G49" s="1">
        <f>+C49-(C$7+F49*C$8)</f>
        <v>4.0325999943888746E-3</v>
      </c>
      <c r="K49" s="1">
        <f>+G49</f>
        <v>4.0325999943888746E-3</v>
      </c>
      <c r="O49" s="1">
        <f ca="1">+C$11+C$12*$F49</f>
        <v>4.7592385295959962E-3</v>
      </c>
      <c r="Q49" s="54">
        <f>+C49-15018.5</f>
        <v>40609.056449999996</v>
      </c>
    </row>
    <row r="50" spans="1:17" x14ac:dyDescent="0.2">
      <c r="A50" s="34" t="s">
        <v>53</v>
      </c>
      <c r="B50" s="31" t="s">
        <v>47</v>
      </c>
      <c r="C50" s="30">
        <v>55627.556850000001</v>
      </c>
      <c r="D50" s="30">
        <v>5.9999999999999995E-4</v>
      </c>
      <c r="E50" s="1">
        <f>+(C50-C$7)/C$8</f>
        <v>4171.5059132586912</v>
      </c>
      <c r="F50" s="1">
        <f>ROUND(2*E50,0)/2</f>
        <v>4171.5</v>
      </c>
      <c r="G50" s="1">
        <f>+C50-(C$7+F50*C$8)</f>
        <v>4.4325999988359399E-3</v>
      </c>
      <c r="K50" s="1">
        <f>+G50</f>
        <v>4.4325999988359399E-3</v>
      </c>
      <c r="O50" s="1">
        <f ca="1">+C$11+C$12*$F50</f>
        <v>4.7592385295959962E-3</v>
      </c>
      <c r="Q50" s="54">
        <f>+C50-15018.5</f>
        <v>40609.056850000001</v>
      </c>
    </row>
    <row r="51" spans="1:17" x14ac:dyDescent="0.2">
      <c r="A51" s="34" t="s">
        <v>53</v>
      </c>
      <c r="B51" s="31" t="s">
        <v>47</v>
      </c>
      <c r="C51" s="30">
        <v>55627.557119999998</v>
      </c>
      <c r="D51" s="30">
        <v>5.0000000000000001E-4</v>
      </c>
      <c r="E51" s="1">
        <f>+(C51-C$7)/C$8</f>
        <v>4171.5062734490593</v>
      </c>
      <c r="F51" s="1">
        <f>ROUND(2*E51,0)/2</f>
        <v>4171.5</v>
      </c>
      <c r="G51" s="1">
        <f>+C51-(C$7+F51*C$8)</f>
        <v>4.702599995653145E-3</v>
      </c>
      <c r="K51" s="1">
        <f>+G51</f>
        <v>4.702599995653145E-3</v>
      </c>
      <c r="O51" s="1">
        <f ca="1">+C$11+C$12*$F51</f>
        <v>4.7592385295959962E-3</v>
      </c>
      <c r="Q51" s="54">
        <f>+C51-15018.5</f>
        <v>40609.057119999998</v>
      </c>
    </row>
    <row r="52" spans="1:17" x14ac:dyDescent="0.2">
      <c r="A52" s="34" t="s">
        <v>53</v>
      </c>
      <c r="B52" s="31" t="s">
        <v>47</v>
      </c>
      <c r="C52" s="30">
        <v>55627.557280000001</v>
      </c>
      <c r="D52" s="30">
        <v>1E-3</v>
      </c>
      <c r="E52" s="1">
        <f>+(C52-C$7)/C$8</f>
        <v>4171.5064868952104</v>
      </c>
      <c r="F52" s="1">
        <f>ROUND(2*E52,0)/2</f>
        <v>4171.5</v>
      </c>
      <c r="G52" s="1">
        <f>+C52-(C$7+F52*C$8)</f>
        <v>4.8625999988871627E-3</v>
      </c>
      <c r="K52" s="1">
        <f>+G52</f>
        <v>4.8625999988871627E-3</v>
      </c>
      <c r="O52" s="1">
        <f ca="1">+C$11+C$12*$F52</f>
        <v>4.7592385295959962E-3</v>
      </c>
      <c r="Q52" s="54">
        <f>+C52-15018.5</f>
        <v>40609.057280000001</v>
      </c>
    </row>
    <row r="53" spans="1:17" x14ac:dyDescent="0.2">
      <c r="A53" s="28" t="s">
        <v>49</v>
      </c>
      <c r="B53" s="29" t="s">
        <v>46</v>
      </c>
      <c r="C53" s="28">
        <v>55639.925000000003</v>
      </c>
      <c r="D53" s="28">
        <v>4.0000000000000002E-4</v>
      </c>
      <c r="E53" s="1">
        <f>+(C53-C$7)/C$8</f>
        <v>4188.0055005072072</v>
      </c>
      <c r="F53" s="1">
        <f>ROUND(2*E53,0)/2</f>
        <v>4188</v>
      </c>
      <c r="G53" s="1">
        <f>+C53-(C$7+F53*C$8)</f>
        <v>4.1232000075979158E-3</v>
      </c>
      <c r="K53" s="1">
        <f>+G53</f>
        <v>4.1232000075979158E-3</v>
      </c>
      <c r="O53" s="1">
        <f ca="1">+C$11+C$12*$F53</f>
        <v>4.7693856835968728E-3</v>
      </c>
      <c r="Q53" s="54">
        <f>+C53-15018.5</f>
        <v>40621.425000000003</v>
      </c>
    </row>
    <row r="54" spans="1:17" x14ac:dyDescent="0.2">
      <c r="A54" s="28" t="s">
        <v>49</v>
      </c>
      <c r="B54" s="29" t="s">
        <v>46</v>
      </c>
      <c r="C54" s="28">
        <v>55663.912600000003</v>
      </c>
      <c r="D54" s="28">
        <v>2.0000000000000001E-4</v>
      </c>
      <c r="E54" s="1">
        <f>+(C54-C$7)/C$8</f>
        <v>4220.0058804413493</v>
      </c>
      <c r="F54" s="1">
        <f>ROUND(2*E54,0)/2</f>
        <v>4220</v>
      </c>
      <c r="G54" s="1">
        <f>+C54-(C$7+F54*C$8)</f>
        <v>4.4080000079702586E-3</v>
      </c>
      <c r="K54" s="1">
        <f>+G54</f>
        <v>4.4080000079702586E-3</v>
      </c>
      <c r="O54" s="1">
        <f ca="1">+C$11+C$12*$F54</f>
        <v>4.7890650125682714E-3</v>
      </c>
      <c r="Q54" s="54">
        <f>+C54-15018.5</f>
        <v>40645.412600000003</v>
      </c>
    </row>
    <row r="55" spans="1:17" x14ac:dyDescent="0.2">
      <c r="A55" s="34" t="s">
        <v>53</v>
      </c>
      <c r="B55" s="31" t="s">
        <v>47</v>
      </c>
      <c r="C55" s="30">
        <v>55953.631829999998</v>
      </c>
      <c r="D55" s="30">
        <v>1.5E-3</v>
      </c>
      <c r="E55" s="1">
        <f>+(C55-C$7)/C$8</f>
        <v>4606.5024634353413</v>
      </c>
      <c r="F55" s="1">
        <f>ROUND(2*E55,0)/2</f>
        <v>4606.5</v>
      </c>
      <c r="G55" s="1">
        <f>+C55-(C$7+F55*C$8)</f>
        <v>1.8466000037733465E-3</v>
      </c>
      <c r="K55" s="1">
        <f>+G55</f>
        <v>1.8466000037733465E-3</v>
      </c>
      <c r="O55" s="1">
        <f ca="1">+C$11+C$12*$F55</f>
        <v>5.0267544078009402E-3</v>
      </c>
      <c r="Q55" s="54">
        <f>+C55-15018.5</f>
        <v>40935.131829999998</v>
      </c>
    </row>
    <row r="56" spans="1:17" x14ac:dyDescent="0.2">
      <c r="A56" s="34" t="s">
        <v>53</v>
      </c>
      <c r="B56" s="31" t="s">
        <v>47</v>
      </c>
      <c r="C56" s="30">
        <v>55989.616880000001</v>
      </c>
      <c r="D56" s="30">
        <v>2E-3</v>
      </c>
      <c r="E56" s="1">
        <f>+(C56-C$7)/C$8</f>
        <v>4654.5079025767791</v>
      </c>
      <c r="F56" s="1">
        <f>ROUND(2*E56,0)/2</f>
        <v>4654.5</v>
      </c>
      <c r="G56" s="1">
        <f>+C56-(C$7+F56*C$8)</f>
        <v>5.9238000030745752E-3</v>
      </c>
      <c r="K56" s="1">
        <f>+G56</f>
        <v>5.9238000030745752E-3</v>
      </c>
      <c r="O56" s="1">
        <f ca="1">+C$11+C$12*$F56</f>
        <v>5.0562734012580372E-3</v>
      </c>
      <c r="Q56" s="54">
        <f>+C56-15018.5</f>
        <v>40971.116880000001</v>
      </c>
    </row>
    <row r="57" spans="1:17" x14ac:dyDescent="0.2">
      <c r="A57" s="34" t="s">
        <v>53</v>
      </c>
      <c r="B57" s="31" t="s">
        <v>47</v>
      </c>
      <c r="C57" s="30">
        <v>55989.617409999999</v>
      </c>
      <c r="D57" s="30">
        <v>8.9999999999999998E-4</v>
      </c>
      <c r="E57" s="1">
        <f>+(C57-C$7)/C$8</f>
        <v>4654.5086096171372</v>
      </c>
      <c r="F57" s="1">
        <f>ROUND(2*E57,0)/2</f>
        <v>4654.5</v>
      </c>
      <c r="G57" s="1">
        <f>+C57-(C$7+F57*C$8)</f>
        <v>6.4538000005995855E-3</v>
      </c>
      <c r="K57" s="1">
        <f>+G57</f>
        <v>6.4538000005995855E-3</v>
      </c>
      <c r="O57" s="1">
        <f ca="1">+C$11+C$12*$F57</f>
        <v>5.0562734012580372E-3</v>
      </c>
      <c r="Q57" s="54">
        <f>+C57-15018.5</f>
        <v>40971.117409999999</v>
      </c>
    </row>
    <row r="58" spans="1:17" x14ac:dyDescent="0.2">
      <c r="A58" s="34" t="s">
        <v>53</v>
      </c>
      <c r="B58" s="31" t="s">
        <v>47</v>
      </c>
      <c r="C58" s="30">
        <v>55989.617509999996</v>
      </c>
      <c r="D58" s="30">
        <v>1.4E-3</v>
      </c>
      <c r="E58" s="1">
        <f>+(C58-C$7)/C$8</f>
        <v>4654.5087430209751</v>
      </c>
      <c r="F58" s="1">
        <f>ROUND(2*E58,0)/2</f>
        <v>4654.5</v>
      </c>
      <c r="G58" s="1">
        <f>+C58-(C$7+F58*C$8)</f>
        <v>6.553799998073373E-3</v>
      </c>
      <c r="K58" s="1">
        <f>+G58</f>
        <v>6.553799998073373E-3</v>
      </c>
      <c r="O58" s="1">
        <f ca="1">+C$11+C$12*$F58</f>
        <v>5.0562734012580372E-3</v>
      </c>
      <c r="Q58" s="54">
        <f>+C58-15018.5</f>
        <v>40971.117509999996</v>
      </c>
    </row>
    <row r="59" spans="1:17" x14ac:dyDescent="0.2">
      <c r="A59" s="30" t="s">
        <v>50</v>
      </c>
      <c r="B59" s="31" t="s">
        <v>46</v>
      </c>
      <c r="C59" s="30">
        <v>56074.697999999997</v>
      </c>
      <c r="D59" s="30">
        <v>4.0000000000000002E-4</v>
      </c>
      <c r="E59" s="1">
        <f>+(C59-C$7)/C$8</f>
        <v>4768.0093852270693</v>
      </c>
      <c r="F59" s="1">
        <f>ROUND(2*E59,0)/2</f>
        <v>4768</v>
      </c>
      <c r="G59" s="1">
        <f>+C59-(C$7+F59*C$8)</f>
        <v>7.0351999966078438E-3</v>
      </c>
      <c r="K59" s="1">
        <f>+G59</f>
        <v>7.0351999966078438E-3</v>
      </c>
      <c r="O59" s="1">
        <f ca="1">+C$11+C$12*$F59</f>
        <v>5.1260735212034642E-3</v>
      </c>
      <c r="Q59" s="54">
        <f>+C59-15018.5</f>
        <v>41056.197999999997</v>
      </c>
    </row>
    <row r="60" spans="1:17" x14ac:dyDescent="0.2">
      <c r="A60" s="32" t="s">
        <v>51</v>
      </c>
      <c r="B60" s="33" t="s">
        <v>46</v>
      </c>
      <c r="C60" s="32">
        <v>57184.8609</v>
      </c>
      <c r="D60" s="32">
        <v>1E-4</v>
      </c>
      <c r="E60" s="1">
        <f>+(C60-C$7)/C$8</f>
        <v>6249.0093430714596</v>
      </c>
      <c r="F60" s="1">
        <f>ROUND(2*E60,0)/2</f>
        <v>6249</v>
      </c>
      <c r="G60" s="1">
        <f>+C60-(C$7+F60*C$8)</f>
        <v>7.0036000033724122E-3</v>
      </c>
      <c r="K60" s="1">
        <f>+G60</f>
        <v>7.0036000033724122E-3</v>
      </c>
      <c r="O60" s="1">
        <f ca="1">+C$11+C$12*$F60</f>
        <v>6.0368574651609849E-3</v>
      </c>
      <c r="Q60" s="54">
        <f>+C60-15018.5</f>
        <v>42166.3609</v>
      </c>
    </row>
    <row r="61" spans="1:17" x14ac:dyDescent="0.2">
      <c r="A61" s="39" t="s">
        <v>51</v>
      </c>
      <c r="B61" s="40" t="s">
        <v>46</v>
      </c>
      <c r="C61" s="41">
        <v>57184.860900000203</v>
      </c>
      <c r="D61" s="41">
        <v>1E-4</v>
      </c>
      <c r="E61" s="1">
        <f>+(C61-C$7)/C$8</f>
        <v>6249.0093430717316</v>
      </c>
      <c r="F61" s="1">
        <f>ROUND(2*E61,0)/2</f>
        <v>6249</v>
      </c>
      <c r="G61" s="1">
        <f>+C61-(C$7+F61*C$8)</f>
        <v>7.0036002070992254E-3</v>
      </c>
      <c r="K61" s="1">
        <f>+G61</f>
        <v>7.0036002070992254E-3</v>
      </c>
      <c r="O61" s="1">
        <f ca="1">+C$11+C$12*$F61</f>
        <v>6.0368574651609849E-3</v>
      </c>
      <c r="Q61" s="54">
        <f>+C61-15018.5</f>
        <v>42166.360900000203</v>
      </c>
    </row>
    <row r="62" spans="1:17" x14ac:dyDescent="0.2">
      <c r="A62" s="35" t="s">
        <v>54</v>
      </c>
      <c r="B62" s="36" t="s">
        <v>46</v>
      </c>
      <c r="C62" s="37">
        <v>57895.483999999997</v>
      </c>
      <c r="D62" s="37">
        <v>1E-3</v>
      </c>
      <c r="E62" s="1">
        <f>+(C62-C$7)/C$8</f>
        <v>7197.0078585535048</v>
      </c>
      <c r="F62" s="1">
        <f>ROUND(2*E62,0)/2</f>
        <v>7197</v>
      </c>
      <c r="G62" s="1">
        <f>+C62-(C$7+F62*C$8)</f>
        <v>5.8907999991788529E-3</v>
      </c>
      <c r="K62" s="1">
        <f>+G62</f>
        <v>5.8907999991788529E-3</v>
      </c>
      <c r="O62" s="1">
        <f ca="1">+C$11+C$12*$F62</f>
        <v>6.6198575859386551E-3</v>
      </c>
      <c r="Q62" s="54">
        <f>+C62-15018.5</f>
        <v>42876.983999999997</v>
      </c>
    </row>
    <row r="63" spans="1:17" x14ac:dyDescent="0.2">
      <c r="A63" s="37" t="s">
        <v>57</v>
      </c>
      <c r="B63" s="38" t="s">
        <v>46</v>
      </c>
      <c r="C63" s="37">
        <v>58238.05569999991</v>
      </c>
      <c r="D63" s="37" t="s">
        <v>17</v>
      </c>
      <c r="E63" s="1">
        <f>+(C63-C$7)/C$8</f>
        <v>7654.0116669662621</v>
      </c>
      <c r="F63" s="1">
        <f>ROUND(2*E63,0)/2</f>
        <v>7654</v>
      </c>
      <c r="G63" s="1">
        <f>+C63-(C$7+F63*C$8)</f>
        <v>8.7455999091616832E-3</v>
      </c>
      <c r="K63" s="1">
        <f>+G63</f>
        <v>8.7455999091616832E-3</v>
      </c>
      <c r="O63" s="1">
        <f ca="1">+C$11+C$12*$F63</f>
        <v>6.900903002811435E-3</v>
      </c>
      <c r="Q63" s="54">
        <f>+C63-15018.5</f>
        <v>43219.55569999991</v>
      </c>
    </row>
    <row r="64" spans="1:17" x14ac:dyDescent="0.2">
      <c r="A64" s="39" t="s">
        <v>58</v>
      </c>
      <c r="B64" s="40" t="s">
        <v>46</v>
      </c>
      <c r="C64" s="41">
        <v>58648.837200000002</v>
      </c>
      <c r="D64" s="41">
        <v>5.9999999999999995E-4</v>
      </c>
      <c r="E64" s="1">
        <f>+(C64-C$7)/C$8</f>
        <v>8202.0099690022871</v>
      </c>
      <c r="F64" s="1">
        <f>ROUND(2*E64,0)/2</f>
        <v>8202</v>
      </c>
      <c r="G64" s="1">
        <f>+C64-(C$7+F64*C$8)</f>
        <v>7.4728000035975128E-3</v>
      </c>
      <c r="K64" s="1">
        <f>+G64</f>
        <v>7.4728000035975128E-3</v>
      </c>
      <c r="O64" s="1">
        <f ca="1">+C$11+C$12*$F64</f>
        <v>7.2379115114466278E-3</v>
      </c>
      <c r="Q64" s="54">
        <f>+C64-15018.5</f>
        <v>43630.337200000002</v>
      </c>
    </row>
    <row r="65" spans="1:17" x14ac:dyDescent="0.2">
      <c r="A65" s="55" t="s">
        <v>197</v>
      </c>
      <c r="B65" s="56" t="s">
        <v>46</v>
      </c>
      <c r="C65" s="57">
        <v>59252.267200000118</v>
      </c>
      <c r="D65" s="55" t="s">
        <v>87</v>
      </c>
      <c r="E65" s="1">
        <f>+(C65-C$7)/C$8</f>
        <v>9007.0087710359439</v>
      </c>
      <c r="F65" s="1">
        <f>ROUND(2*E65,0)/2</f>
        <v>9007</v>
      </c>
      <c r="G65" s="1">
        <f>+C65-(C$7+F65*C$8)</f>
        <v>6.5748001215979457E-3</v>
      </c>
      <c r="K65" s="1">
        <f>+G65</f>
        <v>6.5748001215979457E-3</v>
      </c>
      <c r="O65" s="1">
        <f ca="1">+C$11+C$12*$F65</f>
        <v>7.7329696308833622E-3</v>
      </c>
      <c r="Q65" s="54">
        <f>+C65-15018.5</f>
        <v>44233.767200000118</v>
      </c>
    </row>
    <row r="66" spans="1:17" x14ac:dyDescent="0.2">
      <c r="A66" s="55" t="s">
        <v>197</v>
      </c>
      <c r="B66" s="56" t="s">
        <v>46</v>
      </c>
      <c r="C66" s="57">
        <v>59252.267500000075</v>
      </c>
      <c r="D66" s="55" t="s">
        <v>195</v>
      </c>
      <c r="E66" s="1">
        <f>+(C66-C$7)/C$8</f>
        <v>9007.0091712474114</v>
      </c>
      <c r="F66" s="1">
        <f>ROUND(2*E66,0)/2</f>
        <v>9007</v>
      </c>
      <c r="G66" s="1">
        <f>+C66-(C$7+F66*C$8)</f>
        <v>6.8748000776395202E-3</v>
      </c>
      <c r="K66" s="1">
        <f>+G66</f>
        <v>6.8748000776395202E-3</v>
      </c>
      <c r="O66" s="1">
        <f ca="1">+C$11+C$12*$F66</f>
        <v>7.7329696308833622E-3</v>
      </c>
      <c r="Q66" s="54">
        <f>+C66-15018.5</f>
        <v>44233.767500000075</v>
      </c>
    </row>
    <row r="67" spans="1:17" x14ac:dyDescent="0.2">
      <c r="A67" s="55" t="s">
        <v>197</v>
      </c>
      <c r="B67" s="56" t="s">
        <v>46</v>
      </c>
      <c r="C67" s="57">
        <v>59252.268099999987</v>
      </c>
      <c r="D67" s="55" t="s">
        <v>65</v>
      </c>
      <c r="E67" s="1">
        <f>+(C67-C$7)/C$8</f>
        <v>9007.0099716703444</v>
      </c>
      <c r="F67" s="1">
        <f>ROUND(2*E67,0)/2</f>
        <v>9007</v>
      </c>
      <c r="G67" s="1">
        <f>+C67-(C$7+F67*C$8)</f>
        <v>7.4747999897226691E-3</v>
      </c>
      <c r="K67" s="1">
        <f>+G67</f>
        <v>7.4747999897226691E-3</v>
      </c>
      <c r="O67" s="1">
        <f ca="1">+C$11+C$12*$F67</f>
        <v>7.7329696308833622E-3</v>
      </c>
      <c r="Q67" s="54">
        <f>+C67-15018.5</f>
        <v>44233.768099999987</v>
      </c>
    </row>
    <row r="68" spans="1:17" x14ac:dyDescent="0.2">
      <c r="A68" s="55" t="s">
        <v>198</v>
      </c>
      <c r="B68" s="56" t="s">
        <v>46</v>
      </c>
      <c r="C68" s="57">
        <v>59362.459999999963</v>
      </c>
      <c r="D68" s="55">
        <v>2E-3</v>
      </c>
      <c r="E68" s="1">
        <f>+(C68-C$7)/C$8</f>
        <v>9154.0101995240748</v>
      </c>
      <c r="F68" s="1">
        <f>ROUND(2*E68,0)/2</f>
        <v>9154</v>
      </c>
      <c r="G68" s="1">
        <f>+C68-(C$7+F68*C$8)</f>
        <v>7.6455999660538509E-3</v>
      </c>
      <c r="K68" s="1">
        <f>+G68</f>
        <v>7.6455999660538509E-3</v>
      </c>
      <c r="O68" s="1">
        <f ca="1">+C$11+C$12*$F68</f>
        <v>7.8233715483457221E-3</v>
      </c>
      <c r="Q68" s="54">
        <f>+C68-15018.5</f>
        <v>44343.959999999963</v>
      </c>
    </row>
  </sheetData>
  <sheetProtection selectLockedCells="1" selectUnlockedCells="1"/>
  <sortState xmlns:xlrd2="http://schemas.microsoft.com/office/spreadsheetml/2017/richdata2" ref="A21:U68">
    <sortCondition ref="C21:C68"/>
  </sortState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8"/>
  <sheetViews>
    <sheetView workbookViewId="0">
      <selection activeCell="A23" sqref="A23"/>
    </sheetView>
  </sheetViews>
  <sheetFormatPr defaultRowHeight="12.75" x14ac:dyDescent="0.2"/>
  <cols>
    <col min="1" max="1" width="19.7109375" style="10" customWidth="1"/>
    <col min="2" max="2" width="4.42578125" customWidth="1"/>
    <col min="3" max="3" width="12.7109375" style="10" customWidth="1"/>
    <col min="4" max="4" width="5.42578125" customWidth="1"/>
    <col min="5" max="5" width="14.85546875" customWidth="1"/>
    <col min="7" max="7" width="12" customWidth="1"/>
    <col min="8" max="8" width="14.140625" style="10" customWidth="1"/>
    <col min="9" max="9" width="22.5703125" customWidth="1"/>
    <col min="10" max="10" width="25.140625" customWidth="1"/>
    <col min="11" max="11" width="15.7109375" customWidth="1"/>
    <col min="12" max="12" width="14.140625" customWidth="1"/>
    <col min="13" max="13" width="9.5703125" customWidth="1"/>
    <col min="14" max="14" width="14.140625" customWidth="1"/>
    <col min="15" max="15" width="23.42578125" customWidth="1"/>
    <col min="16" max="16" width="16.5703125" customWidth="1"/>
    <col min="17" max="17" width="41" customWidth="1"/>
  </cols>
  <sheetData>
    <row r="1" spans="1:16" ht="15.75" x14ac:dyDescent="0.25">
      <c r="A1" s="42" t="s">
        <v>59</v>
      </c>
      <c r="I1" s="43" t="s">
        <v>60</v>
      </c>
      <c r="J1" s="44" t="s">
        <v>37</v>
      </c>
    </row>
    <row r="2" spans="1:16" x14ac:dyDescent="0.2">
      <c r="I2" s="45" t="s">
        <v>61</v>
      </c>
      <c r="J2" s="46" t="s">
        <v>36</v>
      </c>
    </row>
    <row r="3" spans="1:16" x14ac:dyDescent="0.2">
      <c r="A3" s="47" t="s">
        <v>62</v>
      </c>
      <c r="I3" s="45" t="s">
        <v>63</v>
      </c>
      <c r="J3" s="46" t="s">
        <v>34</v>
      </c>
    </row>
    <row r="4" spans="1:16" x14ac:dyDescent="0.2">
      <c r="I4" s="45" t="s">
        <v>64</v>
      </c>
      <c r="J4" s="46" t="s">
        <v>34</v>
      </c>
    </row>
    <row r="5" spans="1:16" x14ac:dyDescent="0.2">
      <c r="I5" s="48" t="s">
        <v>65</v>
      </c>
      <c r="J5" s="49" t="s">
        <v>35</v>
      </c>
    </row>
    <row r="11" spans="1:16" ht="12.75" customHeight="1" x14ac:dyDescent="0.2">
      <c r="A11" s="10" t="str">
        <f t="shared" ref="A11:A48" si="0">P11</f>
        <v>IBVS 5690 </v>
      </c>
      <c r="B11" s="4" t="str">
        <f t="shared" ref="B11:B48" si="1">IF(H11=INT(H11),"I","II")</f>
        <v>II</v>
      </c>
      <c r="C11" s="10">
        <f t="shared" ref="C11:C48" si="2">1*G11</f>
        <v>53538.782099999997</v>
      </c>
      <c r="D11" t="str">
        <f t="shared" ref="D11:D48" si="3">VLOOKUP(F11,I$1:J$5,2,FALSE)</f>
        <v>vis</v>
      </c>
      <c r="E11">
        <f>VLOOKUP(C11,Active!C$21:E$973,3,FALSE)</f>
        <v>1385.0001520803773</v>
      </c>
      <c r="F11" s="4" t="s">
        <v>65</v>
      </c>
      <c r="G11" t="str">
        <f t="shared" ref="G11:G48" si="4">MID(I11,3,LEN(I11)-3)</f>
        <v>53538.7821</v>
      </c>
      <c r="H11" s="10">
        <f t="shared" ref="H11:H48" si="5">1*K11</f>
        <v>8513.5</v>
      </c>
      <c r="I11" s="50" t="s">
        <v>66</v>
      </c>
      <c r="J11" s="51" t="s">
        <v>67</v>
      </c>
      <c r="K11" s="50">
        <v>8513.5</v>
      </c>
      <c r="L11" s="50" t="s">
        <v>68</v>
      </c>
      <c r="M11" s="51" t="s">
        <v>69</v>
      </c>
      <c r="N11" s="51" t="s">
        <v>70</v>
      </c>
      <c r="O11" s="52" t="s">
        <v>71</v>
      </c>
      <c r="P11" s="53" t="s">
        <v>72</v>
      </c>
    </row>
    <row r="12" spans="1:16" ht="12.75" customHeight="1" x14ac:dyDescent="0.2">
      <c r="A12" s="10" t="str">
        <f t="shared" si="0"/>
        <v>OEJV 0160 </v>
      </c>
      <c r="B12" s="4" t="str">
        <f t="shared" si="1"/>
        <v>II</v>
      </c>
      <c r="C12" s="10">
        <f t="shared" si="2"/>
        <v>55627.556449999996</v>
      </c>
      <c r="D12" t="str">
        <f t="shared" si="3"/>
        <v>vis</v>
      </c>
      <c r="E12">
        <f>VLOOKUP(C12,Active!C$21:E$973,3,FALSE)</f>
        <v>4171.5053796433185</v>
      </c>
      <c r="F12" s="4" t="s">
        <v>65</v>
      </c>
      <c r="G12" t="str">
        <f t="shared" si="4"/>
        <v>55627.55645</v>
      </c>
      <c r="H12" s="10">
        <f t="shared" si="5"/>
        <v>9205.5</v>
      </c>
      <c r="I12" s="50" t="s">
        <v>73</v>
      </c>
      <c r="J12" s="51" t="s">
        <v>74</v>
      </c>
      <c r="K12" s="50">
        <v>9205.5</v>
      </c>
      <c r="L12" s="50" t="s">
        <v>75</v>
      </c>
      <c r="M12" s="51" t="s">
        <v>76</v>
      </c>
      <c r="N12" s="51" t="s">
        <v>77</v>
      </c>
      <c r="O12" s="52" t="s">
        <v>78</v>
      </c>
      <c r="P12" s="53" t="s">
        <v>79</v>
      </c>
    </row>
    <row r="13" spans="1:16" ht="12.75" customHeight="1" x14ac:dyDescent="0.2">
      <c r="A13" s="10" t="str">
        <f t="shared" si="0"/>
        <v>OEJV 0160 </v>
      </c>
      <c r="B13" s="4" t="str">
        <f t="shared" si="1"/>
        <v>II</v>
      </c>
      <c r="C13" s="10">
        <f t="shared" si="2"/>
        <v>55627.556850000001</v>
      </c>
      <c r="D13" t="str">
        <f t="shared" si="3"/>
        <v>vis</v>
      </c>
      <c r="E13">
        <f>VLOOKUP(C13,Active!C$21:E$973,3,FALSE)</f>
        <v>4171.5059132586912</v>
      </c>
      <c r="F13" s="4" t="s">
        <v>65</v>
      </c>
      <c r="G13" t="str">
        <f t="shared" si="4"/>
        <v>55627.55685</v>
      </c>
      <c r="H13" s="10">
        <f t="shared" si="5"/>
        <v>9205.5</v>
      </c>
      <c r="I13" s="50" t="s">
        <v>80</v>
      </c>
      <c r="J13" s="51" t="s">
        <v>74</v>
      </c>
      <c r="K13" s="50">
        <v>9205.5</v>
      </c>
      <c r="L13" s="50" t="s">
        <v>81</v>
      </c>
      <c r="M13" s="51" t="s">
        <v>76</v>
      </c>
      <c r="N13" s="51" t="s">
        <v>65</v>
      </c>
      <c r="O13" s="52" t="s">
        <v>78</v>
      </c>
      <c r="P13" s="53" t="s">
        <v>79</v>
      </c>
    </row>
    <row r="14" spans="1:16" ht="12.75" customHeight="1" x14ac:dyDescent="0.2">
      <c r="A14" s="10" t="str">
        <f t="shared" si="0"/>
        <v>OEJV 0160 </v>
      </c>
      <c r="B14" s="4" t="str">
        <f t="shared" si="1"/>
        <v>II</v>
      </c>
      <c r="C14" s="10">
        <f t="shared" si="2"/>
        <v>55627.557119999998</v>
      </c>
      <c r="D14" t="str">
        <f t="shared" si="3"/>
        <v>vis</v>
      </c>
      <c r="E14">
        <f>VLOOKUP(C14,Active!C$21:E$973,3,FALSE)</f>
        <v>4171.5062734490593</v>
      </c>
      <c r="F14" s="4" t="s">
        <v>65</v>
      </c>
      <c r="G14" t="str">
        <f t="shared" si="4"/>
        <v>55627.55712</v>
      </c>
      <c r="H14" s="10">
        <f t="shared" si="5"/>
        <v>9205.5</v>
      </c>
      <c r="I14" s="50" t="s">
        <v>82</v>
      </c>
      <c r="J14" s="51" t="s">
        <v>83</v>
      </c>
      <c r="K14" s="50">
        <v>9205.5</v>
      </c>
      <c r="L14" s="50" t="s">
        <v>84</v>
      </c>
      <c r="M14" s="51" t="s">
        <v>76</v>
      </c>
      <c r="N14" s="51" t="s">
        <v>46</v>
      </c>
      <c r="O14" s="52" t="s">
        <v>78</v>
      </c>
      <c r="P14" s="53" t="s">
        <v>79</v>
      </c>
    </row>
    <row r="15" spans="1:16" ht="12.75" customHeight="1" x14ac:dyDescent="0.2">
      <c r="A15" s="10" t="str">
        <f t="shared" si="0"/>
        <v>OEJV 0160 </v>
      </c>
      <c r="B15" s="4" t="str">
        <f t="shared" si="1"/>
        <v>II</v>
      </c>
      <c r="C15" s="10">
        <f t="shared" si="2"/>
        <v>55627.557280000001</v>
      </c>
      <c r="D15" t="str">
        <f t="shared" si="3"/>
        <v>vis</v>
      </c>
      <c r="E15">
        <f>VLOOKUP(C15,Active!C$21:E$973,3,FALSE)</f>
        <v>4171.5064868952104</v>
      </c>
      <c r="F15" s="4" t="s">
        <v>65</v>
      </c>
      <c r="G15" t="str">
        <f t="shared" si="4"/>
        <v>55627.55728</v>
      </c>
      <c r="H15" s="10">
        <f t="shared" si="5"/>
        <v>9205.5</v>
      </c>
      <c r="I15" s="50" t="s">
        <v>85</v>
      </c>
      <c r="J15" s="51" t="s">
        <v>83</v>
      </c>
      <c r="K15" s="50">
        <v>9205.5</v>
      </c>
      <c r="L15" s="50" t="s">
        <v>86</v>
      </c>
      <c r="M15" s="51" t="s">
        <v>76</v>
      </c>
      <c r="N15" s="51" t="s">
        <v>87</v>
      </c>
      <c r="O15" s="52" t="s">
        <v>78</v>
      </c>
      <c r="P15" s="53" t="s">
        <v>79</v>
      </c>
    </row>
    <row r="16" spans="1:16" ht="12.75" customHeight="1" x14ac:dyDescent="0.2">
      <c r="A16" s="10" t="str">
        <f t="shared" si="0"/>
        <v>IBVS 5992 </v>
      </c>
      <c r="B16" s="4" t="str">
        <f t="shared" si="1"/>
        <v>II</v>
      </c>
      <c r="C16" s="10">
        <f t="shared" si="2"/>
        <v>55639.925000000003</v>
      </c>
      <c r="D16" t="str">
        <f t="shared" si="3"/>
        <v>vis</v>
      </c>
      <c r="E16">
        <f>VLOOKUP(C16,Active!C$21:E$973,3,FALSE)</f>
        <v>4188.0055005072072</v>
      </c>
      <c r="F16" s="4" t="s">
        <v>65</v>
      </c>
      <c r="G16" t="str">
        <f t="shared" si="4"/>
        <v>55639.9250</v>
      </c>
      <c r="H16" s="10">
        <f t="shared" si="5"/>
        <v>9209.5</v>
      </c>
      <c r="I16" s="50" t="s">
        <v>88</v>
      </c>
      <c r="J16" s="51" t="s">
        <v>89</v>
      </c>
      <c r="K16" s="50">
        <v>9209.5</v>
      </c>
      <c r="L16" s="50" t="s">
        <v>90</v>
      </c>
      <c r="M16" s="51" t="s">
        <v>76</v>
      </c>
      <c r="N16" s="51" t="s">
        <v>65</v>
      </c>
      <c r="O16" s="52" t="s">
        <v>91</v>
      </c>
      <c r="P16" s="53" t="s">
        <v>92</v>
      </c>
    </row>
    <row r="17" spans="1:16" ht="12.75" customHeight="1" x14ac:dyDescent="0.2">
      <c r="A17" s="10" t="str">
        <f t="shared" si="0"/>
        <v>IBVS 5992 </v>
      </c>
      <c r="B17" s="4" t="str">
        <f t="shared" si="1"/>
        <v>II</v>
      </c>
      <c r="C17" s="10">
        <f t="shared" si="2"/>
        <v>55663.912600000003</v>
      </c>
      <c r="D17" t="str">
        <f t="shared" si="3"/>
        <v>vis</v>
      </c>
      <c r="E17">
        <f>VLOOKUP(C17,Active!C$21:E$973,3,FALSE)</f>
        <v>4220.0058804413493</v>
      </c>
      <c r="F17" s="4" t="s">
        <v>65</v>
      </c>
      <c r="G17" t="str">
        <f t="shared" si="4"/>
        <v>55663.9126</v>
      </c>
      <c r="H17" s="10">
        <f t="shared" si="5"/>
        <v>9217.5</v>
      </c>
      <c r="I17" s="50" t="s">
        <v>93</v>
      </c>
      <c r="J17" s="51" t="s">
        <v>94</v>
      </c>
      <c r="K17" s="50">
        <v>9217.5</v>
      </c>
      <c r="L17" s="50" t="s">
        <v>95</v>
      </c>
      <c r="M17" s="51" t="s">
        <v>76</v>
      </c>
      <c r="N17" s="51" t="s">
        <v>65</v>
      </c>
      <c r="O17" s="52" t="s">
        <v>91</v>
      </c>
      <c r="P17" s="53" t="s">
        <v>92</v>
      </c>
    </row>
    <row r="18" spans="1:16" ht="12.75" customHeight="1" x14ac:dyDescent="0.2">
      <c r="A18" s="10" t="str">
        <f t="shared" si="0"/>
        <v>OEJV 0160 </v>
      </c>
      <c r="B18" s="4" t="str">
        <f t="shared" si="1"/>
        <v>II</v>
      </c>
      <c r="C18" s="10">
        <f t="shared" si="2"/>
        <v>55953.631829999998</v>
      </c>
      <c r="D18" t="str">
        <f t="shared" si="3"/>
        <v>vis</v>
      </c>
      <c r="E18">
        <f>VLOOKUP(C18,Active!C$21:E$973,3,FALSE)</f>
        <v>4606.5024634353413</v>
      </c>
      <c r="F18" s="4" t="s">
        <v>65</v>
      </c>
      <c r="G18" t="str">
        <f t="shared" si="4"/>
        <v>55953.63183</v>
      </c>
      <c r="H18" s="10">
        <f t="shared" si="5"/>
        <v>9313.5</v>
      </c>
      <c r="I18" s="50" t="s">
        <v>96</v>
      </c>
      <c r="J18" s="51" t="s">
        <v>97</v>
      </c>
      <c r="K18" s="50">
        <v>9313.5</v>
      </c>
      <c r="L18" s="50" t="s">
        <v>98</v>
      </c>
      <c r="M18" s="51" t="s">
        <v>76</v>
      </c>
      <c r="N18" s="51" t="s">
        <v>60</v>
      </c>
      <c r="O18" s="52" t="s">
        <v>99</v>
      </c>
      <c r="P18" s="53" t="s">
        <v>79</v>
      </c>
    </row>
    <row r="19" spans="1:16" ht="12.75" customHeight="1" x14ac:dyDescent="0.2">
      <c r="A19" s="10" t="str">
        <f t="shared" si="0"/>
        <v>OEJV 0160 </v>
      </c>
      <c r="B19" s="4" t="str">
        <f t="shared" si="1"/>
        <v>II</v>
      </c>
      <c r="C19" s="10">
        <f t="shared" si="2"/>
        <v>55989.616880000001</v>
      </c>
      <c r="D19" t="str">
        <f t="shared" si="3"/>
        <v>vis</v>
      </c>
      <c r="E19">
        <f>VLOOKUP(C19,Active!C$21:E$973,3,FALSE)</f>
        <v>4654.5079025767791</v>
      </c>
      <c r="F19" s="4" t="s">
        <v>65</v>
      </c>
      <c r="G19" t="str">
        <f t="shared" si="4"/>
        <v>55989.61688</v>
      </c>
      <c r="H19" s="10">
        <f t="shared" si="5"/>
        <v>9325.5</v>
      </c>
      <c r="I19" s="50" t="s">
        <v>100</v>
      </c>
      <c r="J19" s="51" t="s">
        <v>101</v>
      </c>
      <c r="K19" s="50">
        <v>9325.5</v>
      </c>
      <c r="L19" s="50" t="s">
        <v>102</v>
      </c>
      <c r="M19" s="51" t="s">
        <v>76</v>
      </c>
      <c r="N19" s="51" t="s">
        <v>65</v>
      </c>
      <c r="O19" s="52" t="s">
        <v>78</v>
      </c>
      <c r="P19" s="53" t="s">
        <v>79</v>
      </c>
    </row>
    <row r="20" spans="1:16" ht="12.75" customHeight="1" x14ac:dyDescent="0.2">
      <c r="A20" s="10" t="str">
        <f t="shared" si="0"/>
        <v>OEJV 0160 </v>
      </c>
      <c r="B20" s="4" t="str">
        <f t="shared" si="1"/>
        <v>II</v>
      </c>
      <c r="C20" s="10">
        <f t="shared" si="2"/>
        <v>55989.617409999999</v>
      </c>
      <c r="D20" t="str">
        <f t="shared" si="3"/>
        <v>vis</v>
      </c>
      <c r="E20">
        <f>VLOOKUP(C20,Active!C$21:E$973,3,FALSE)</f>
        <v>4654.5086096171372</v>
      </c>
      <c r="F20" s="4" t="s">
        <v>65</v>
      </c>
      <c r="G20" t="str">
        <f t="shared" si="4"/>
        <v>55989.61741</v>
      </c>
      <c r="H20" s="10">
        <f t="shared" si="5"/>
        <v>9325.5</v>
      </c>
      <c r="I20" s="50" t="s">
        <v>103</v>
      </c>
      <c r="J20" s="51" t="s">
        <v>104</v>
      </c>
      <c r="K20" s="50">
        <v>9325.5</v>
      </c>
      <c r="L20" s="50" t="s">
        <v>105</v>
      </c>
      <c r="M20" s="51" t="s">
        <v>76</v>
      </c>
      <c r="N20" s="51" t="s">
        <v>46</v>
      </c>
      <c r="O20" s="52" t="s">
        <v>78</v>
      </c>
      <c r="P20" s="53" t="s">
        <v>79</v>
      </c>
    </row>
    <row r="21" spans="1:16" ht="12.75" customHeight="1" x14ac:dyDescent="0.2">
      <c r="A21" s="10" t="str">
        <f t="shared" si="0"/>
        <v>OEJV 0160 </v>
      </c>
      <c r="B21" s="4" t="str">
        <f t="shared" si="1"/>
        <v>II</v>
      </c>
      <c r="C21" s="10">
        <f t="shared" si="2"/>
        <v>55989.617509999996</v>
      </c>
      <c r="D21" t="str">
        <f t="shared" si="3"/>
        <v>vis</v>
      </c>
      <c r="E21">
        <f>VLOOKUP(C21,Active!C$21:E$973,3,FALSE)</f>
        <v>4654.5087430209751</v>
      </c>
      <c r="F21" s="4" t="s">
        <v>65</v>
      </c>
      <c r="G21" t="str">
        <f t="shared" si="4"/>
        <v>55989.61751</v>
      </c>
      <c r="H21" s="10">
        <f t="shared" si="5"/>
        <v>9325.5</v>
      </c>
      <c r="I21" s="50" t="s">
        <v>106</v>
      </c>
      <c r="J21" s="51" t="s">
        <v>104</v>
      </c>
      <c r="K21" s="50">
        <v>9325.5</v>
      </c>
      <c r="L21" s="50" t="s">
        <v>107</v>
      </c>
      <c r="M21" s="51" t="s">
        <v>76</v>
      </c>
      <c r="N21" s="51" t="s">
        <v>77</v>
      </c>
      <c r="O21" s="52" t="s">
        <v>78</v>
      </c>
      <c r="P21" s="53" t="s">
        <v>79</v>
      </c>
    </row>
    <row r="22" spans="1:16" ht="12.75" customHeight="1" x14ac:dyDescent="0.2">
      <c r="A22" s="10" t="str">
        <f t="shared" si="0"/>
        <v>IBVS 6029 </v>
      </c>
      <c r="B22" s="4" t="str">
        <f t="shared" si="1"/>
        <v>II</v>
      </c>
      <c r="C22" s="10">
        <f t="shared" si="2"/>
        <v>56074.697999999997</v>
      </c>
      <c r="D22" t="str">
        <f t="shared" si="3"/>
        <v>vis</v>
      </c>
      <c r="E22">
        <f>VLOOKUP(C22,Active!C$21:E$973,3,FALSE)</f>
        <v>4768.0093852270693</v>
      </c>
      <c r="F22" s="4" t="s">
        <v>65</v>
      </c>
      <c r="G22" t="str">
        <f t="shared" si="4"/>
        <v>56074.6980</v>
      </c>
      <c r="H22" s="10">
        <f t="shared" si="5"/>
        <v>9353.5</v>
      </c>
      <c r="I22" s="50" t="s">
        <v>108</v>
      </c>
      <c r="J22" s="51" t="s">
        <v>109</v>
      </c>
      <c r="K22" s="50">
        <v>9353.5</v>
      </c>
      <c r="L22" s="50" t="s">
        <v>110</v>
      </c>
      <c r="M22" s="51" t="s">
        <v>76</v>
      </c>
      <c r="N22" s="51" t="s">
        <v>65</v>
      </c>
      <c r="O22" s="52" t="s">
        <v>91</v>
      </c>
      <c r="P22" s="53" t="s">
        <v>111</v>
      </c>
    </row>
    <row r="23" spans="1:16" ht="12.75" customHeight="1" x14ac:dyDescent="0.2">
      <c r="A23" s="10" t="str">
        <f t="shared" si="0"/>
        <v> VB 10.106.2 </v>
      </c>
      <c r="B23" s="4" t="str">
        <f t="shared" si="1"/>
        <v>I</v>
      </c>
      <c r="C23" s="10">
        <f t="shared" si="2"/>
        <v>27841.671999999999</v>
      </c>
      <c r="D23" t="str">
        <f t="shared" si="3"/>
        <v>vis</v>
      </c>
      <c r="E23">
        <f>VLOOKUP(C23,Active!C$21:E$973,3,FALSE)</f>
        <v>-32895.931929889339</v>
      </c>
      <c r="F23" s="4" t="s">
        <v>65</v>
      </c>
      <c r="G23" t="str">
        <f t="shared" si="4"/>
        <v>27841.672</v>
      </c>
      <c r="H23" s="10">
        <f t="shared" si="5"/>
        <v>0</v>
      </c>
      <c r="I23" s="50" t="s">
        <v>112</v>
      </c>
      <c r="J23" s="51" t="s">
        <v>113</v>
      </c>
      <c r="K23" s="50">
        <v>0</v>
      </c>
      <c r="L23" s="50" t="s">
        <v>114</v>
      </c>
      <c r="M23" s="51" t="s">
        <v>115</v>
      </c>
      <c r="N23" s="51"/>
      <c r="O23" s="52" t="s">
        <v>116</v>
      </c>
      <c r="P23" s="52" t="s">
        <v>45</v>
      </c>
    </row>
    <row r="24" spans="1:16" ht="12.75" customHeight="1" x14ac:dyDescent="0.2">
      <c r="A24" s="10" t="str">
        <f t="shared" si="0"/>
        <v> VB 10.106.2 </v>
      </c>
      <c r="B24" s="4" t="str">
        <f t="shared" si="1"/>
        <v>I</v>
      </c>
      <c r="C24" s="10">
        <f t="shared" si="2"/>
        <v>28249.526000000002</v>
      </c>
      <c r="D24" t="str">
        <f t="shared" si="3"/>
        <v>vis</v>
      </c>
      <c r="E24">
        <f>VLOOKUP(C24,Active!C$21:E$973,3,FALSE)</f>
        <v>-32351.83902531951</v>
      </c>
      <c r="F24" s="4" t="s">
        <v>65</v>
      </c>
      <c r="G24" t="str">
        <f t="shared" si="4"/>
        <v>28249.526</v>
      </c>
      <c r="H24" s="10">
        <f t="shared" si="5"/>
        <v>135</v>
      </c>
      <c r="I24" s="50" t="s">
        <v>117</v>
      </c>
      <c r="J24" s="51" t="s">
        <v>118</v>
      </c>
      <c r="K24" s="50">
        <v>135</v>
      </c>
      <c r="L24" s="50" t="s">
        <v>119</v>
      </c>
      <c r="M24" s="51" t="s">
        <v>115</v>
      </c>
      <c r="N24" s="51"/>
      <c r="O24" s="52" t="s">
        <v>116</v>
      </c>
      <c r="P24" s="52" t="s">
        <v>45</v>
      </c>
    </row>
    <row r="25" spans="1:16" ht="12.75" customHeight="1" x14ac:dyDescent="0.2">
      <c r="A25" s="10" t="str">
        <f t="shared" si="0"/>
        <v> VB 10.106.2 </v>
      </c>
      <c r="B25" s="4" t="str">
        <f t="shared" si="1"/>
        <v>I</v>
      </c>
      <c r="C25" s="10">
        <f t="shared" si="2"/>
        <v>28270.467000000001</v>
      </c>
      <c r="D25" t="str">
        <f t="shared" si="3"/>
        <v>vis</v>
      </c>
      <c r="E25">
        <f>VLOOKUP(C25,Active!C$21:E$973,3,FALSE)</f>
        <v>-32323.902926826922</v>
      </c>
      <c r="F25" s="4" t="s">
        <v>65</v>
      </c>
      <c r="G25" t="str">
        <f t="shared" si="4"/>
        <v>28270.467</v>
      </c>
      <c r="H25" s="10">
        <f t="shared" si="5"/>
        <v>142</v>
      </c>
      <c r="I25" s="50" t="s">
        <v>120</v>
      </c>
      <c r="J25" s="51" t="s">
        <v>121</v>
      </c>
      <c r="K25" s="50">
        <v>142</v>
      </c>
      <c r="L25" s="50" t="s">
        <v>122</v>
      </c>
      <c r="M25" s="51" t="s">
        <v>115</v>
      </c>
      <c r="N25" s="51"/>
      <c r="O25" s="52" t="s">
        <v>116</v>
      </c>
      <c r="P25" s="52" t="s">
        <v>45</v>
      </c>
    </row>
    <row r="26" spans="1:16" ht="12.75" customHeight="1" x14ac:dyDescent="0.2">
      <c r="A26" s="10" t="str">
        <f t="shared" si="0"/>
        <v> VB 10.106.2 </v>
      </c>
      <c r="B26" s="4" t="str">
        <f t="shared" si="1"/>
        <v>I</v>
      </c>
      <c r="C26" s="10">
        <f t="shared" si="2"/>
        <v>28626.505000000001</v>
      </c>
      <c r="D26" t="str">
        <f t="shared" si="3"/>
        <v>vis</v>
      </c>
      <c r="E26">
        <f>VLOOKUP(C26,Active!C$21:E$973,3,FALSE)</f>
        <v>-31848.93455687779</v>
      </c>
      <c r="F26" s="4" t="s">
        <v>65</v>
      </c>
      <c r="G26" t="str">
        <f t="shared" si="4"/>
        <v>28626.505</v>
      </c>
      <c r="H26" s="10">
        <f t="shared" si="5"/>
        <v>260</v>
      </c>
      <c r="I26" s="50" t="s">
        <v>123</v>
      </c>
      <c r="J26" s="51" t="s">
        <v>124</v>
      </c>
      <c r="K26" s="50">
        <v>260</v>
      </c>
      <c r="L26" s="50" t="s">
        <v>125</v>
      </c>
      <c r="M26" s="51" t="s">
        <v>115</v>
      </c>
      <c r="N26" s="51"/>
      <c r="O26" s="52" t="s">
        <v>116</v>
      </c>
      <c r="P26" s="52" t="s">
        <v>45</v>
      </c>
    </row>
    <row r="27" spans="1:16" ht="12.75" customHeight="1" x14ac:dyDescent="0.2">
      <c r="A27" s="10" t="str">
        <f t="shared" si="0"/>
        <v> VB 10.106.2 </v>
      </c>
      <c r="B27" s="4" t="str">
        <f t="shared" si="1"/>
        <v>I</v>
      </c>
      <c r="C27" s="10">
        <f t="shared" si="2"/>
        <v>28629.494999999999</v>
      </c>
      <c r="D27" t="str">
        <f t="shared" si="3"/>
        <v>vis</v>
      </c>
      <c r="E27">
        <f>VLOOKUP(C27,Active!C$21:E$973,3,FALSE)</f>
        <v>-31844.945782010651</v>
      </c>
      <c r="F27" s="4" t="s">
        <v>65</v>
      </c>
      <c r="G27" t="str">
        <f t="shared" si="4"/>
        <v>28629.495</v>
      </c>
      <c r="H27" s="10">
        <f t="shared" si="5"/>
        <v>261</v>
      </c>
      <c r="I27" s="50" t="s">
        <v>126</v>
      </c>
      <c r="J27" s="51" t="s">
        <v>127</v>
      </c>
      <c r="K27" s="50">
        <v>261</v>
      </c>
      <c r="L27" s="50" t="s">
        <v>128</v>
      </c>
      <c r="M27" s="51" t="s">
        <v>115</v>
      </c>
      <c r="N27" s="51"/>
      <c r="O27" s="52" t="s">
        <v>116</v>
      </c>
      <c r="P27" s="52" t="s">
        <v>45</v>
      </c>
    </row>
    <row r="28" spans="1:16" ht="12.75" customHeight="1" x14ac:dyDescent="0.2">
      <c r="A28" s="10" t="str">
        <f t="shared" si="0"/>
        <v> VB 10.106.2 </v>
      </c>
      <c r="B28" s="4" t="str">
        <f t="shared" si="1"/>
        <v>I</v>
      </c>
      <c r="C28" s="10">
        <f t="shared" si="2"/>
        <v>28635.469000000001</v>
      </c>
      <c r="D28" t="str">
        <f t="shared" si="3"/>
        <v>vis</v>
      </c>
      <c r="E28">
        <f>VLOOKUP(C28,Active!C$21:E$973,3,FALSE)</f>
        <v>-31836.976236506864</v>
      </c>
      <c r="F28" s="4" t="s">
        <v>65</v>
      </c>
      <c r="G28" t="str">
        <f t="shared" si="4"/>
        <v>28635.469</v>
      </c>
      <c r="H28" s="10">
        <f t="shared" si="5"/>
        <v>263</v>
      </c>
      <c r="I28" s="50" t="s">
        <v>129</v>
      </c>
      <c r="J28" s="51" t="s">
        <v>130</v>
      </c>
      <c r="K28" s="50">
        <v>263</v>
      </c>
      <c r="L28" s="50" t="s">
        <v>131</v>
      </c>
      <c r="M28" s="51" t="s">
        <v>115</v>
      </c>
      <c r="N28" s="51"/>
      <c r="O28" s="52" t="s">
        <v>116</v>
      </c>
      <c r="P28" s="52" t="s">
        <v>45</v>
      </c>
    </row>
    <row r="29" spans="1:16" ht="12.75" customHeight="1" x14ac:dyDescent="0.2">
      <c r="A29" s="10" t="str">
        <f t="shared" si="0"/>
        <v> VB 10.106.2 </v>
      </c>
      <c r="B29" s="4" t="str">
        <f t="shared" si="1"/>
        <v>I</v>
      </c>
      <c r="C29" s="10">
        <f t="shared" si="2"/>
        <v>29646.681</v>
      </c>
      <c r="D29" t="str">
        <f t="shared" si="3"/>
        <v>vis</v>
      </c>
      <c r="E29">
        <f>VLOOKUP(C29,Active!C$21:E$973,3,FALSE)</f>
        <v>-30487.980580669566</v>
      </c>
      <c r="F29" s="4" t="s">
        <v>65</v>
      </c>
      <c r="G29" t="str">
        <f t="shared" si="4"/>
        <v>29646.681</v>
      </c>
      <c r="H29" s="10">
        <f t="shared" si="5"/>
        <v>598</v>
      </c>
      <c r="I29" s="50" t="s">
        <v>132</v>
      </c>
      <c r="J29" s="51" t="s">
        <v>133</v>
      </c>
      <c r="K29" s="50">
        <v>598</v>
      </c>
      <c r="L29" s="50" t="s">
        <v>134</v>
      </c>
      <c r="M29" s="51" t="s">
        <v>115</v>
      </c>
      <c r="N29" s="51"/>
      <c r="O29" s="52" t="s">
        <v>116</v>
      </c>
      <c r="P29" s="52" t="s">
        <v>45</v>
      </c>
    </row>
    <row r="30" spans="1:16" ht="12.75" customHeight="1" x14ac:dyDescent="0.2">
      <c r="A30" s="10" t="str">
        <f t="shared" si="0"/>
        <v> VB 10.106.2 </v>
      </c>
      <c r="B30" s="4" t="str">
        <f t="shared" si="1"/>
        <v>II</v>
      </c>
      <c r="C30" s="10">
        <f t="shared" si="2"/>
        <v>29726.504000000001</v>
      </c>
      <c r="D30" t="str">
        <f t="shared" si="3"/>
        <v>vis</v>
      </c>
      <c r="E30">
        <f>VLOOKUP(C30,Active!C$21:E$973,3,FALSE)</f>
        <v>-30381.493632101014</v>
      </c>
      <c r="F30" s="4" t="s">
        <v>65</v>
      </c>
      <c r="G30" t="str">
        <f t="shared" si="4"/>
        <v>29726.504</v>
      </c>
      <c r="H30" s="10">
        <f t="shared" si="5"/>
        <v>624.5</v>
      </c>
      <c r="I30" s="50" t="s">
        <v>135</v>
      </c>
      <c r="J30" s="51" t="s">
        <v>136</v>
      </c>
      <c r="K30" s="50">
        <v>624.5</v>
      </c>
      <c r="L30" s="50" t="s">
        <v>137</v>
      </c>
      <c r="M30" s="51" t="s">
        <v>115</v>
      </c>
      <c r="N30" s="51"/>
      <c r="O30" s="52" t="s">
        <v>116</v>
      </c>
      <c r="P30" s="52" t="s">
        <v>45</v>
      </c>
    </row>
    <row r="31" spans="1:16" ht="12.75" customHeight="1" x14ac:dyDescent="0.2">
      <c r="A31" s="10" t="str">
        <f t="shared" si="0"/>
        <v> VB 10.106.2 </v>
      </c>
      <c r="B31" s="4" t="str">
        <f t="shared" si="1"/>
        <v>I</v>
      </c>
      <c r="C31" s="10">
        <f t="shared" si="2"/>
        <v>38475.500999999997</v>
      </c>
      <c r="D31" t="str">
        <f t="shared" si="3"/>
        <v>vis</v>
      </c>
      <c r="E31">
        <f>VLOOKUP(C31,Active!C$21:E$973,3,FALSE)</f>
        <v>-18709.995522967074</v>
      </c>
      <c r="F31" s="4" t="s">
        <v>65</v>
      </c>
      <c r="G31" t="str">
        <f t="shared" si="4"/>
        <v>38475.501</v>
      </c>
      <c r="H31" s="10">
        <f t="shared" si="5"/>
        <v>3523</v>
      </c>
      <c r="I31" s="50" t="s">
        <v>138</v>
      </c>
      <c r="J31" s="51" t="s">
        <v>139</v>
      </c>
      <c r="K31" s="50">
        <v>3523</v>
      </c>
      <c r="L31" s="50" t="s">
        <v>140</v>
      </c>
      <c r="M31" s="51" t="s">
        <v>115</v>
      </c>
      <c r="N31" s="51"/>
      <c r="O31" s="52" t="s">
        <v>141</v>
      </c>
      <c r="P31" s="52" t="s">
        <v>45</v>
      </c>
    </row>
    <row r="32" spans="1:16" ht="12.75" customHeight="1" x14ac:dyDescent="0.2">
      <c r="A32" s="10" t="str">
        <f t="shared" si="0"/>
        <v> VB 10.106.2 </v>
      </c>
      <c r="B32" s="4" t="str">
        <f t="shared" si="1"/>
        <v>I</v>
      </c>
      <c r="C32" s="10">
        <f t="shared" si="2"/>
        <v>38493.46</v>
      </c>
      <c r="D32" t="str">
        <f t="shared" si="3"/>
        <v>vis</v>
      </c>
      <c r="E32">
        <f>VLOOKUP(C32,Active!C$21:E$973,3,FALSE)</f>
        <v>-18686.037527034285</v>
      </c>
      <c r="F32" s="4" t="s">
        <v>65</v>
      </c>
      <c r="G32" t="str">
        <f t="shared" si="4"/>
        <v>38493.460</v>
      </c>
      <c r="H32" s="10">
        <f t="shared" si="5"/>
        <v>3529</v>
      </c>
      <c r="I32" s="50" t="s">
        <v>142</v>
      </c>
      <c r="J32" s="51" t="s">
        <v>143</v>
      </c>
      <c r="K32" s="50">
        <v>3529</v>
      </c>
      <c r="L32" s="50" t="s">
        <v>144</v>
      </c>
      <c r="M32" s="51" t="s">
        <v>115</v>
      </c>
      <c r="N32" s="51"/>
      <c r="O32" s="52" t="s">
        <v>141</v>
      </c>
      <c r="P32" s="52" t="s">
        <v>45</v>
      </c>
    </row>
    <row r="33" spans="1:16" ht="12.75" customHeight="1" x14ac:dyDescent="0.2">
      <c r="A33" s="10" t="str">
        <f t="shared" si="0"/>
        <v> VB 10.106.2 </v>
      </c>
      <c r="B33" s="4" t="str">
        <f t="shared" si="1"/>
        <v>I</v>
      </c>
      <c r="C33" s="10">
        <f t="shared" si="2"/>
        <v>38505.440000000002</v>
      </c>
      <c r="D33" t="str">
        <f t="shared" si="3"/>
        <v>vis</v>
      </c>
      <c r="E33">
        <f>VLOOKUP(C33,Active!C$21:E$973,3,FALSE)</f>
        <v>-18670.055746797367</v>
      </c>
      <c r="F33" s="4" t="s">
        <v>65</v>
      </c>
      <c r="G33" t="str">
        <f t="shared" si="4"/>
        <v>38505.440</v>
      </c>
      <c r="H33" s="10">
        <f t="shared" si="5"/>
        <v>3533</v>
      </c>
      <c r="I33" s="50" t="s">
        <v>145</v>
      </c>
      <c r="J33" s="51" t="s">
        <v>146</v>
      </c>
      <c r="K33" s="50">
        <v>3533</v>
      </c>
      <c r="L33" s="50" t="s">
        <v>147</v>
      </c>
      <c r="M33" s="51" t="s">
        <v>115</v>
      </c>
      <c r="N33" s="51"/>
      <c r="O33" s="52" t="s">
        <v>141</v>
      </c>
      <c r="P33" s="52" t="s">
        <v>45</v>
      </c>
    </row>
    <row r="34" spans="1:16" ht="12.75" customHeight="1" x14ac:dyDescent="0.2">
      <c r="A34" s="10" t="str">
        <f t="shared" si="0"/>
        <v> VB 10.106.2 </v>
      </c>
      <c r="B34" s="4" t="str">
        <f t="shared" si="1"/>
        <v>I</v>
      </c>
      <c r="C34" s="10">
        <f t="shared" si="2"/>
        <v>38581.201000000001</v>
      </c>
      <c r="D34" t="str">
        <f t="shared" si="3"/>
        <v>vis</v>
      </c>
      <c r="E34">
        <f>VLOOKUP(C34,Active!C$21:E$973,3,FALSE)</f>
        <v>-18568.987662279098</v>
      </c>
      <c r="F34" s="4" t="s">
        <v>65</v>
      </c>
      <c r="G34" t="str">
        <f t="shared" si="4"/>
        <v>38581.201</v>
      </c>
      <c r="H34" s="10">
        <f t="shared" si="5"/>
        <v>3558</v>
      </c>
      <c r="I34" s="50" t="s">
        <v>148</v>
      </c>
      <c r="J34" s="51" t="s">
        <v>149</v>
      </c>
      <c r="K34" s="50">
        <v>3558</v>
      </c>
      <c r="L34" s="50" t="s">
        <v>150</v>
      </c>
      <c r="M34" s="51" t="s">
        <v>115</v>
      </c>
      <c r="N34" s="51"/>
      <c r="O34" s="52" t="s">
        <v>141</v>
      </c>
      <c r="P34" s="52" t="s">
        <v>45</v>
      </c>
    </row>
    <row r="35" spans="1:16" ht="12.75" customHeight="1" x14ac:dyDescent="0.2">
      <c r="A35" s="10" t="str">
        <f t="shared" si="0"/>
        <v> VB 10.106.2 </v>
      </c>
      <c r="B35" s="4" t="str">
        <f t="shared" si="1"/>
        <v>I</v>
      </c>
      <c r="C35" s="10">
        <f t="shared" si="2"/>
        <v>38584.201999999997</v>
      </c>
      <c r="D35" t="str">
        <f t="shared" si="3"/>
        <v>vis</v>
      </c>
      <c r="E35">
        <f>VLOOKUP(C35,Active!C$21:E$973,3,FALSE)</f>
        <v>-18564.984212989373</v>
      </c>
      <c r="F35" s="4" t="s">
        <v>65</v>
      </c>
      <c r="G35" t="str">
        <f t="shared" si="4"/>
        <v>38584.202</v>
      </c>
      <c r="H35" s="10">
        <f t="shared" si="5"/>
        <v>3559</v>
      </c>
      <c r="I35" s="50" t="s">
        <v>151</v>
      </c>
      <c r="J35" s="51" t="s">
        <v>152</v>
      </c>
      <c r="K35" s="50">
        <v>3559</v>
      </c>
      <c r="L35" s="50" t="s">
        <v>153</v>
      </c>
      <c r="M35" s="51" t="s">
        <v>115</v>
      </c>
      <c r="N35" s="51"/>
      <c r="O35" s="52" t="s">
        <v>141</v>
      </c>
      <c r="P35" s="52" t="s">
        <v>45</v>
      </c>
    </row>
    <row r="36" spans="1:16" ht="12.75" customHeight="1" x14ac:dyDescent="0.2">
      <c r="A36" s="10" t="str">
        <f t="shared" si="0"/>
        <v> VB 10.106.2 </v>
      </c>
      <c r="B36" s="4" t="str">
        <f t="shared" si="1"/>
        <v>I</v>
      </c>
      <c r="C36" s="10">
        <f t="shared" si="2"/>
        <v>38587.205999999998</v>
      </c>
      <c r="D36" t="str">
        <f t="shared" si="3"/>
        <v>vis</v>
      </c>
      <c r="E36">
        <f>VLOOKUP(C36,Active!C$21:E$973,3,FALSE)</f>
        <v>-18560.976761584388</v>
      </c>
      <c r="F36" s="4" t="s">
        <v>65</v>
      </c>
      <c r="G36" t="str">
        <f t="shared" si="4"/>
        <v>38587.206</v>
      </c>
      <c r="H36" s="10">
        <f t="shared" si="5"/>
        <v>3560</v>
      </c>
      <c r="I36" s="50" t="s">
        <v>154</v>
      </c>
      <c r="J36" s="51" t="s">
        <v>155</v>
      </c>
      <c r="K36" s="50">
        <v>3560</v>
      </c>
      <c r="L36" s="50" t="s">
        <v>156</v>
      </c>
      <c r="M36" s="51" t="s">
        <v>115</v>
      </c>
      <c r="N36" s="51"/>
      <c r="O36" s="52" t="s">
        <v>141</v>
      </c>
      <c r="P36" s="52" t="s">
        <v>45</v>
      </c>
    </row>
    <row r="37" spans="1:16" ht="12.75" customHeight="1" x14ac:dyDescent="0.2">
      <c r="A37" s="10" t="str">
        <f t="shared" si="0"/>
        <v> VB 10.106.2 </v>
      </c>
      <c r="B37" s="4" t="str">
        <f t="shared" si="1"/>
        <v>I</v>
      </c>
      <c r="C37" s="10">
        <f t="shared" si="2"/>
        <v>38590.203999999998</v>
      </c>
      <c r="D37" t="str">
        <f t="shared" si="3"/>
        <v>vis</v>
      </c>
      <c r="E37">
        <f>VLOOKUP(C37,Active!C$21:E$973,3,FALSE)</f>
        <v>-18556.977314409909</v>
      </c>
      <c r="F37" s="4" t="s">
        <v>65</v>
      </c>
      <c r="G37" t="str">
        <f t="shared" si="4"/>
        <v>38590.204</v>
      </c>
      <c r="H37" s="10">
        <f t="shared" si="5"/>
        <v>3561</v>
      </c>
      <c r="I37" s="50" t="s">
        <v>157</v>
      </c>
      <c r="J37" s="51" t="s">
        <v>158</v>
      </c>
      <c r="K37" s="50">
        <v>3561</v>
      </c>
      <c r="L37" s="50" t="s">
        <v>159</v>
      </c>
      <c r="M37" s="51" t="s">
        <v>115</v>
      </c>
      <c r="N37" s="51"/>
      <c r="O37" s="52" t="s">
        <v>141</v>
      </c>
      <c r="P37" s="52" t="s">
        <v>45</v>
      </c>
    </row>
    <row r="38" spans="1:16" ht="12.75" customHeight="1" x14ac:dyDescent="0.2">
      <c r="A38" s="10" t="str">
        <f t="shared" si="0"/>
        <v> VB 10.106.2 </v>
      </c>
      <c r="B38" s="4" t="str">
        <f t="shared" si="1"/>
        <v>I</v>
      </c>
      <c r="C38" s="10">
        <f t="shared" si="2"/>
        <v>38916.298999999999</v>
      </c>
      <c r="D38" t="str">
        <f t="shared" si="3"/>
        <v>vis</v>
      </c>
      <c r="E38">
        <f>VLOOKUP(C38,Active!C$21:E$973,3,FALSE)</f>
        <v>-18121.954056784143</v>
      </c>
      <c r="F38" s="4" t="s">
        <v>65</v>
      </c>
      <c r="G38" t="str">
        <f t="shared" si="4"/>
        <v>38916.299</v>
      </c>
      <c r="H38" s="10">
        <f t="shared" si="5"/>
        <v>3669</v>
      </c>
      <c r="I38" s="50" t="s">
        <v>160</v>
      </c>
      <c r="J38" s="51" t="s">
        <v>161</v>
      </c>
      <c r="K38" s="50">
        <v>3669</v>
      </c>
      <c r="L38" s="50" t="s">
        <v>162</v>
      </c>
      <c r="M38" s="51" t="s">
        <v>115</v>
      </c>
      <c r="N38" s="51"/>
      <c r="O38" s="52" t="s">
        <v>141</v>
      </c>
      <c r="P38" s="52" t="s">
        <v>45</v>
      </c>
    </row>
    <row r="39" spans="1:16" ht="12.75" customHeight="1" x14ac:dyDescent="0.2">
      <c r="A39" s="10" t="str">
        <f t="shared" si="0"/>
        <v> VB 10.106.2 </v>
      </c>
      <c r="B39" s="4" t="str">
        <f t="shared" si="1"/>
        <v>I</v>
      </c>
      <c r="C39" s="10">
        <f t="shared" si="2"/>
        <v>38934.254999999997</v>
      </c>
      <c r="D39" t="str">
        <f t="shared" si="3"/>
        <v>vis</v>
      </c>
      <c r="E39">
        <f>VLOOKUP(C39,Active!C$21:E$973,3,FALSE)</f>
        <v>-18098.000062966614</v>
      </c>
      <c r="F39" s="4" t="s">
        <v>65</v>
      </c>
      <c r="G39" t="str">
        <f t="shared" si="4"/>
        <v>38934.255</v>
      </c>
      <c r="H39" s="10">
        <f t="shared" si="5"/>
        <v>3675</v>
      </c>
      <c r="I39" s="50" t="s">
        <v>163</v>
      </c>
      <c r="J39" s="51" t="s">
        <v>164</v>
      </c>
      <c r="K39" s="50">
        <v>3675</v>
      </c>
      <c r="L39" s="50" t="s">
        <v>125</v>
      </c>
      <c r="M39" s="51" t="s">
        <v>115</v>
      </c>
      <c r="N39" s="51"/>
      <c r="O39" s="52" t="s">
        <v>141</v>
      </c>
      <c r="P39" s="52" t="s">
        <v>45</v>
      </c>
    </row>
    <row r="40" spans="1:16" ht="12.75" customHeight="1" x14ac:dyDescent="0.2">
      <c r="A40" s="10" t="str">
        <f t="shared" si="0"/>
        <v> VB 10.106.2 </v>
      </c>
      <c r="B40" s="4" t="str">
        <f t="shared" si="1"/>
        <v>I</v>
      </c>
      <c r="C40" s="10">
        <f t="shared" si="2"/>
        <v>38940.230000000003</v>
      </c>
      <c r="D40" t="str">
        <f t="shared" si="3"/>
        <v>vis</v>
      </c>
      <c r="E40">
        <f>VLOOKUP(C40,Active!C$21:E$973,3,FALSE)</f>
        <v>-18090.029183424405</v>
      </c>
      <c r="F40" s="4" t="s">
        <v>65</v>
      </c>
      <c r="G40" t="str">
        <f t="shared" si="4"/>
        <v>38940.230</v>
      </c>
      <c r="H40" s="10">
        <f t="shared" si="5"/>
        <v>3677</v>
      </c>
      <c r="I40" s="50" t="s">
        <v>165</v>
      </c>
      <c r="J40" s="51" t="s">
        <v>166</v>
      </c>
      <c r="K40" s="50">
        <v>3677</v>
      </c>
      <c r="L40" s="50" t="s">
        <v>167</v>
      </c>
      <c r="M40" s="51" t="s">
        <v>115</v>
      </c>
      <c r="N40" s="51"/>
      <c r="O40" s="52" t="s">
        <v>141</v>
      </c>
      <c r="P40" s="52" t="s">
        <v>45</v>
      </c>
    </row>
    <row r="41" spans="1:16" ht="12.75" customHeight="1" x14ac:dyDescent="0.2">
      <c r="A41" s="10" t="str">
        <f t="shared" si="0"/>
        <v> VB 10.106.2 </v>
      </c>
      <c r="B41" s="4" t="str">
        <f t="shared" si="1"/>
        <v>I</v>
      </c>
      <c r="C41" s="10">
        <f t="shared" si="2"/>
        <v>38943.241000000002</v>
      </c>
      <c r="D41" t="str">
        <f t="shared" si="3"/>
        <v>vis</v>
      </c>
      <c r="E41">
        <f>VLOOKUP(C41,Active!C$21:E$973,3,FALSE)</f>
        <v>-18086.012393750505</v>
      </c>
      <c r="F41" s="4" t="s">
        <v>65</v>
      </c>
      <c r="G41" t="str">
        <f t="shared" si="4"/>
        <v>38943.241</v>
      </c>
      <c r="H41" s="10">
        <f t="shared" si="5"/>
        <v>3678</v>
      </c>
      <c r="I41" s="50" t="s">
        <v>168</v>
      </c>
      <c r="J41" s="51" t="s">
        <v>169</v>
      </c>
      <c r="K41" s="50">
        <v>3678</v>
      </c>
      <c r="L41" s="50" t="s">
        <v>170</v>
      </c>
      <c r="M41" s="51" t="s">
        <v>115</v>
      </c>
      <c r="N41" s="51"/>
      <c r="O41" s="52" t="s">
        <v>141</v>
      </c>
      <c r="P41" s="52" t="s">
        <v>45</v>
      </c>
    </row>
    <row r="42" spans="1:16" ht="12.75" customHeight="1" x14ac:dyDescent="0.2">
      <c r="A42" s="10" t="str">
        <f t="shared" si="0"/>
        <v> VB 10.106.2 </v>
      </c>
      <c r="B42" s="4" t="str">
        <f t="shared" si="1"/>
        <v>I</v>
      </c>
      <c r="C42" s="10">
        <f t="shared" si="2"/>
        <v>39269.330999999998</v>
      </c>
      <c r="D42" t="str">
        <f t="shared" si="3"/>
        <v>vis</v>
      </c>
      <c r="E42">
        <f>VLOOKUP(C42,Active!C$21:E$973,3,FALSE)</f>
        <v>-17650.995806316831</v>
      </c>
      <c r="F42" s="4" t="s">
        <v>65</v>
      </c>
      <c r="G42" t="str">
        <f t="shared" si="4"/>
        <v>39269.331</v>
      </c>
      <c r="H42" s="10">
        <f t="shared" si="5"/>
        <v>3786</v>
      </c>
      <c r="I42" s="50" t="s">
        <v>171</v>
      </c>
      <c r="J42" s="51" t="s">
        <v>172</v>
      </c>
      <c r="K42" s="50">
        <v>3786</v>
      </c>
      <c r="L42" s="50" t="s">
        <v>173</v>
      </c>
      <c r="M42" s="51" t="s">
        <v>115</v>
      </c>
      <c r="N42" s="51"/>
      <c r="O42" s="52" t="s">
        <v>141</v>
      </c>
      <c r="P42" s="52" t="s">
        <v>45</v>
      </c>
    </row>
    <row r="43" spans="1:16" ht="12.75" customHeight="1" x14ac:dyDescent="0.2">
      <c r="A43" s="10" t="str">
        <f t="shared" si="0"/>
        <v> VB 10.106.2 </v>
      </c>
      <c r="B43" s="4" t="str">
        <f t="shared" si="1"/>
        <v>I</v>
      </c>
      <c r="C43" s="10">
        <f t="shared" si="2"/>
        <v>39613.383999999998</v>
      </c>
      <c r="D43" t="str">
        <f t="shared" si="3"/>
        <v>vis</v>
      </c>
      <c r="E43">
        <f>VLOOKUP(C43,Active!C$21:E$973,3,FALSE)</f>
        <v>-17192.0158867967</v>
      </c>
      <c r="F43" s="4" t="s">
        <v>65</v>
      </c>
      <c r="G43" t="str">
        <f t="shared" si="4"/>
        <v>39613.384</v>
      </c>
      <c r="H43" s="10">
        <f t="shared" si="5"/>
        <v>3900</v>
      </c>
      <c r="I43" s="50" t="s">
        <v>174</v>
      </c>
      <c r="J43" s="51" t="s">
        <v>175</v>
      </c>
      <c r="K43" s="50">
        <v>3900</v>
      </c>
      <c r="L43" s="50" t="s">
        <v>176</v>
      </c>
      <c r="M43" s="51" t="s">
        <v>115</v>
      </c>
      <c r="N43" s="51"/>
      <c r="O43" s="52" t="s">
        <v>141</v>
      </c>
      <c r="P43" s="52" t="s">
        <v>45</v>
      </c>
    </row>
    <row r="44" spans="1:16" ht="12.75" customHeight="1" x14ac:dyDescent="0.2">
      <c r="A44" s="10" t="str">
        <f t="shared" si="0"/>
        <v> VB 10.106.2 </v>
      </c>
      <c r="B44" s="4" t="str">
        <f t="shared" si="1"/>
        <v>II</v>
      </c>
      <c r="C44" s="10">
        <f t="shared" si="2"/>
        <v>41443.947999999997</v>
      </c>
      <c r="D44" t="str">
        <f t="shared" si="3"/>
        <v>vis</v>
      </c>
      <c r="E44">
        <f>VLOOKUP(C44,Active!C$21:E$973,3,FALSE)</f>
        <v>-14749.973185827817</v>
      </c>
      <c r="F44" s="4" t="s">
        <v>65</v>
      </c>
      <c r="G44" t="str">
        <f t="shared" si="4"/>
        <v>41443.948</v>
      </c>
      <c r="H44" s="10">
        <f t="shared" si="5"/>
        <v>4506.5</v>
      </c>
      <c r="I44" s="50" t="s">
        <v>177</v>
      </c>
      <c r="J44" s="51" t="s">
        <v>178</v>
      </c>
      <c r="K44" s="50">
        <v>4506.5</v>
      </c>
      <c r="L44" s="50" t="s">
        <v>179</v>
      </c>
      <c r="M44" s="51" t="s">
        <v>115</v>
      </c>
      <c r="N44" s="51"/>
      <c r="O44" s="52" t="s">
        <v>180</v>
      </c>
      <c r="P44" s="52" t="s">
        <v>45</v>
      </c>
    </row>
    <row r="45" spans="1:16" ht="12.75" customHeight="1" x14ac:dyDescent="0.2">
      <c r="A45" s="10" t="str">
        <f t="shared" si="0"/>
        <v>VSB 45 </v>
      </c>
      <c r="B45" s="4" t="str">
        <f t="shared" si="1"/>
        <v>II</v>
      </c>
      <c r="C45" s="10">
        <f t="shared" si="2"/>
        <v>53834.126400000001</v>
      </c>
      <c r="D45" t="str">
        <f t="shared" si="3"/>
        <v>vis</v>
      </c>
      <c r="E45">
        <f>VLOOKUP(C45,Active!C$21:E$973,3,FALSE)</f>
        <v>1779.0007945532848</v>
      </c>
      <c r="F45" s="4" t="s">
        <v>65</v>
      </c>
      <c r="G45" t="str">
        <f t="shared" si="4"/>
        <v>53834.1264</v>
      </c>
      <c r="H45" s="10">
        <f t="shared" si="5"/>
        <v>8611.5</v>
      </c>
      <c r="I45" s="50" t="s">
        <v>181</v>
      </c>
      <c r="J45" s="51" t="s">
        <v>182</v>
      </c>
      <c r="K45" s="50">
        <v>8611.5</v>
      </c>
      <c r="L45" s="50" t="s">
        <v>183</v>
      </c>
      <c r="M45" s="51" t="s">
        <v>69</v>
      </c>
      <c r="N45" s="51" t="s">
        <v>70</v>
      </c>
      <c r="O45" s="52" t="s">
        <v>184</v>
      </c>
      <c r="P45" s="53" t="s">
        <v>55</v>
      </c>
    </row>
    <row r="46" spans="1:16" ht="12.75" customHeight="1" x14ac:dyDescent="0.2">
      <c r="A46" s="10" t="str">
        <f t="shared" si="0"/>
        <v>VSB 45 </v>
      </c>
      <c r="B46" s="4" t="str">
        <f t="shared" si="1"/>
        <v>I</v>
      </c>
      <c r="C46" s="10">
        <f t="shared" si="2"/>
        <v>53847.247100000001</v>
      </c>
      <c r="D46" t="str">
        <f t="shared" si="3"/>
        <v>vis</v>
      </c>
      <c r="E46">
        <f>VLOOKUP(C46,Active!C$21:E$973,3,FALSE)</f>
        <v>1796.50431241259</v>
      </c>
      <c r="F46" s="4" t="s">
        <v>65</v>
      </c>
      <c r="G46" t="str">
        <f t="shared" si="4"/>
        <v>53847.2471</v>
      </c>
      <c r="H46" s="10">
        <f t="shared" si="5"/>
        <v>8616</v>
      </c>
      <c r="I46" s="50" t="s">
        <v>185</v>
      </c>
      <c r="J46" s="51" t="s">
        <v>186</v>
      </c>
      <c r="K46" s="50">
        <v>8616</v>
      </c>
      <c r="L46" s="50" t="s">
        <v>187</v>
      </c>
      <c r="M46" s="51" t="s">
        <v>69</v>
      </c>
      <c r="N46" s="51" t="s">
        <v>70</v>
      </c>
      <c r="O46" s="52" t="s">
        <v>184</v>
      </c>
      <c r="P46" s="53" t="s">
        <v>55</v>
      </c>
    </row>
    <row r="47" spans="1:16" ht="12.75" customHeight="1" x14ac:dyDescent="0.2">
      <c r="A47" s="10" t="str">
        <f t="shared" si="0"/>
        <v>VSB 50 </v>
      </c>
      <c r="B47" s="4" t="str">
        <f t="shared" si="1"/>
        <v>II</v>
      </c>
      <c r="C47" s="10">
        <f t="shared" si="2"/>
        <v>54848.340900000003</v>
      </c>
      <c r="D47" t="str">
        <f t="shared" si="3"/>
        <v>vis</v>
      </c>
      <c r="E47">
        <f>VLOOKUP(C47,Active!C$21:E$973,3,FALSE)</f>
        <v>3132.0019007379428</v>
      </c>
      <c r="F47" s="4" t="s">
        <v>65</v>
      </c>
      <c r="G47" t="str">
        <f t="shared" si="4"/>
        <v>54848.3409</v>
      </c>
      <c r="H47" s="10">
        <f t="shared" si="5"/>
        <v>8947.5</v>
      </c>
      <c r="I47" s="50" t="s">
        <v>188</v>
      </c>
      <c r="J47" s="51" t="s">
        <v>189</v>
      </c>
      <c r="K47" s="50">
        <v>8947.5</v>
      </c>
      <c r="L47" s="50" t="s">
        <v>190</v>
      </c>
      <c r="M47" s="51" t="s">
        <v>76</v>
      </c>
      <c r="N47" s="51" t="s">
        <v>65</v>
      </c>
      <c r="O47" s="52" t="s">
        <v>191</v>
      </c>
      <c r="P47" s="53" t="s">
        <v>56</v>
      </c>
    </row>
    <row r="48" spans="1:16" ht="12.75" customHeight="1" x14ac:dyDescent="0.2">
      <c r="A48" s="10" t="str">
        <f t="shared" si="0"/>
        <v>VSB 50 </v>
      </c>
      <c r="B48" s="4" t="str">
        <f t="shared" si="1"/>
        <v>II</v>
      </c>
      <c r="C48" s="10">
        <f t="shared" si="2"/>
        <v>54954.036500000002</v>
      </c>
      <c r="D48" t="str">
        <f t="shared" si="3"/>
        <v>vis</v>
      </c>
      <c r="E48">
        <f>VLOOKUP(C48,Active!C$21:E$973,3,FALSE)</f>
        <v>3273.0038916568751</v>
      </c>
      <c r="F48" s="4" t="s">
        <v>65</v>
      </c>
      <c r="G48" t="str">
        <f t="shared" si="4"/>
        <v>54954.0365</v>
      </c>
      <c r="H48" s="10">
        <f t="shared" si="5"/>
        <v>8982.5</v>
      </c>
      <c r="I48" s="50" t="s">
        <v>192</v>
      </c>
      <c r="J48" s="51" t="s">
        <v>193</v>
      </c>
      <c r="K48" s="50">
        <v>8982.5</v>
      </c>
      <c r="L48" s="50" t="s">
        <v>194</v>
      </c>
      <c r="M48" s="51" t="s">
        <v>76</v>
      </c>
      <c r="N48" s="51" t="s">
        <v>195</v>
      </c>
      <c r="O48" s="52" t="s">
        <v>196</v>
      </c>
      <c r="P48" s="53" t="s">
        <v>56</v>
      </c>
    </row>
  </sheetData>
  <sheetProtection selectLockedCells="1" selectUnlockedCells="1"/>
  <hyperlinks>
    <hyperlink ref="P11" r:id="rId1"/>
    <hyperlink ref="P12" r:id="rId2"/>
    <hyperlink ref="P13" r:id="rId3"/>
    <hyperlink ref="P14" r:id="rId4"/>
    <hyperlink ref="P15" r:id="rId5"/>
    <hyperlink ref="P16" r:id="rId6"/>
    <hyperlink ref="P17" r:id="rId7"/>
    <hyperlink ref="P18" r:id="rId8"/>
    <hyperlink ref="P19" r:id="rId9"/>
    <hyperlink ref="P20" r:id="rId10"/>
    <hyperlink ref="P21" r:id="rId11"/>
    <hyperlink ref="P22" r:id="rId12"/>
    <hyperlink ref="P45" r:id="rId13"/>
    <hyperlink ref="P46" r:id="rId14"/>
    <hyperlink ref="P47" r:id="rId15"/>
    <hyperlink ref="P48" r:id="rId16"/>
  </hyperlinks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dcterms:created xsi:type="dcterms:W3CDTF">2023-01-25T07:36:09Z</dcterms:created>
  <dcterms:modified xsi:type="dcterms:W3CDTF">2023-01-25T07:36:35Z</dcterms:modified>
</cp:coreProperties>
</file>