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5273D22-9BCA-434E-8AC4-548A707E8037}" xr6:coauthVersionLast="47" xr6:coauthVersionMax="47" xr10:uidLastSave="{00000000-0000-0000-0000-000000000000}"/>
  <bookViews>
    <workbookView xWindow="13320" yWindow="106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2" i="1" l="1"/>
  <c r="F42" i="1" s="1"/>
  <c r="G42" i="1" s="1"/>
  <c r="K42" i="1" s="1"/>
  <c r="Q42" i="1"/>
  <c r="E39" i="1"/>
  <c r="F39" i="1"/>
  <c r="G39" i="1"/>
  <c r="K39" i="1"/>
  <c r="E40" i="1"/>
  <c r="F40" i="1"/>
  <c r="G40" i="1"/>
  <c r="I40" i="1"/>
  <c r="E41" i="1"/>
  <c r="F41" i="1"/>
  <c r="G41" i="1"/>
  <c r="I41" i="1"/>
  <c r="D9" i="1"/>
  <c r="C9" i="1"/>
  <c r="Q39" i="1"/>
  <c r="Q40" i="1"/>
  <c r="Q41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Q27" i="1"/>
  <c r="Q28" i="1"/>
  <c r="Q29" i="1"/>
  <c r="Q30" i="1"/>
  <c r="Q31" i="1"/>
  <c r="Q32" i="1"/>
  <c r="Q33" i="1"/>
  <c r="Q34" i="1"/>
  <c r="G17" i="2"/>
  <c r="C17" i="2"/>
  <c r="E17" i="2"/>
  <c r="G16" i="2"/>
  <c r="C16" i="2"/>
  <c r="E16" i="2"/>
  <c r="G15" i="2"/>
  <c r="C15" i="2"/>
  <c r="E15" i="2"/>
  <c r="G14" i="2"/>
  <c r="C14" i="2"/>
  <c r="E14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13" i="2"/>
  <c r="C13" i="2"/>
  <c r="E13" i="2"/>
  <c r="G12" i="2"/>
  <c r="C12" i="2"/>
  <c r="E12" i="2"/>
  <c r="G20" i="2"/>
  <c r="C20" i="2"/>
  <c r="E20" i="2"/>
  <c r="G19" i="2"/>
  <c r="C19" i="2"/>
  <c r="E19" i="2"/>
  <c r="G18" i="2"/>
  <c r="C18" i="2"/>
  <c r="E18" i="2"/>
  <c r="G11" i="2"/>
  <c r="C11" i="2"/>
  <c r="E11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13" i="2"/>
  <c r="D13" i="2"/>
  <c r="B13" i="2"/>
  <c r="A13" i="2"/>
  <c r="H12" i="2"/>
  <c r="B12" i="2"/>
  <c r="D12" i="2"/>
  <c r="A12" i="2"/>
  <c r="H20" i="2"/>
  <c r="D20" i="2"/>
  <c r="B20" i="2"/>
  <c r="A20" i="2"/>
  <c r="H19" i="2"/>
  <c r="B19" i="2"/>
  <c r="D19" i="2"/>
  <c r="A19" i="2"/>
  <c r="H18" i="2"/>
  <c r="D18" i="2"/>
  <c r="B18" i="2"/>
  <c r="A18" i="2"/>
  <c r="H11" i="2"/>
  <c r="B11" i="2"/>
  <c r="D11" i="2"/>
  <c r="A11" i="2"/>
  <c r="Q37" i="1"/>
  <c r="Q38" i="1"/>
  <c r="Q35" i="1"/>
  <c r="Q36" i="1"/>
  <c r="F16" i="1"/>
  <c r="F17" i="1" s="1"/>
  <c r="C17" i="1"/>
  <c r="Q25" i="1"/>
  <c r="Q26" i="1"/>
  <c r="Q21" i="1"/>
  <c r="Q22" i="1"/>
  <c r="Q23" i="1"/>
  <c r="Q24" i="1"/>
  <c r="C11" i="1"/>
  <c r="C12" i="1"/>
  <c r="O42" i="1" l="1"/>
  <c r="C16" i="1"/>
  <c r="D18" i="1" s="1"/>
  <c r="O25" i="1"/>
  <c r="O39" i="1"/>
  <c r="O41" i="1"/>
  <c r="O29" i="1"/>
  <c r="O31" i="1"/>
  <c r="O28" i="1"/>
  <c r="O38" i="1"/>
  <c r="O36" i="1"/>
  <c r="O34" i="1"/>
  <c r="O35" i="1"/>
  <c r="O33" i="1"/>
  <c r="O27" i="1"/>
  <c r="O37" i="1"/>
  <c r="O30" i="1"/>
  <c r="C15" i="1"/>
  <c r="O24" i="1"/>
  <c r="O23" i="1"/>
  <c r="O32" i="1"/>
  <c r="O40" i="1"/>
  <c r="O21" i="1"/>
  <c r="O22" i="1"/>
  <c r="O26" i="1"/>
  <c r="C18" i="1" l="1"/>
  <c r="F18" i="1"/>
  <c r="F19" i="1" s="1"/>
</calcChain>
</file>

<file path=xl/sharedStrings.xml><?xml version="1.0" encoding="utf-8"?>
<sst xmlns="http://schemas.openxmlformats.org/spreadsheetml/2006/main" count="258" uniqueCount="140">
  <si>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</si>
  <si>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</si>
  <si>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</si>
  <si>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</si>
  <si>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</si>
  <si>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</si>
  <si>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</si>
  <si>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</si>
  <si>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</si>
  <si>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</si>
  <si>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</si>
  <si>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</si>
  <si>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</si>
  <si>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</si>
  <si>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</si>
  <si>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</si>
  <si>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</si>
  <si>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</si>
  <si>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</si>
  <si>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</si>
  <si>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</si>
  <si>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</si>
  <si>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</si>
  <si>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</si>
  <si>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</si>
  <si>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</si>
  <si>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</si>
  <si>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4272</t>
  </si>
  <si>
    <t>II</t>
  </si>
  <si>
    <t>I</t>
  </si>
  <si>
    <t>not avail.</t>
  </si>
  <si>
    <t># of data points:</t>
  </si>
  <si>
    <t>E</t>
  </si>
  <si>
    <t>HY Vir / GSC 04960-00976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</si>
  <si>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</si>
  <si>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</si>
  <si>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</si>
  <si>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</si>
  <si>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</si>
  <si>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</si>
  <si>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</si>
  <si>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Add cycle</t>
  </si>
  <si>
    <t>Old Cycle</t>
  </si>
  <si>
    <t>IBVS 6014</t>
  </si>
  <si>
    <t>IBVS 6114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</si>
  <si>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</si>
  <si>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</si>
  <si>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</si>
  <si>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</si>
  <si>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</si>
  <si>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</si>
  <si>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</si>
  <si>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</si>
  <si>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</si>
  <si>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</si>
  <si>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2447239.6051 </t>
  </si>
  <si>
    <t> 19.03.1988 02:31 </t>
  </si>
  <si>
    <t> -0.0055 </t>
  </si>
  <si>
    <t>E </t>
  </si>
  <si>
    <t>G</t>
  </si>
  <si>
    <t> E.Garcia-Melendo </t>
  </si>
  <si>
    <t>IBVS 4272 </t>
  </si>
  <si>
    <t>2447627.6007 </t>
  </si>
  <si>
    <t> 11.04.1989 02:25 </t>
  </si>
  <si>
    <t> -0.0013 </t>
  </si>
  <si>
    <t>2449813.4704 </t>
  </si>
  <si>
    <t> 05.04.1995 23:17 </t>
  </si>
  <si>
    <t> 0.0013 </t>
  </si>
  <si>
    <t>2449817.5662 </t>
  </si>
  <si>
    <t> 10.04.1995 01:35 </t>
  </si>
  <si>
    <t> -0.0014 </t>
  </si>
  <si>
    <t>2453470.6966 </t>
  </si>
  <si>
    <t> 10.04.2005 04:43 </t>
  </si>
  <si>
    <t>C </t>
  </si>
  <si>
    <t>-I</t>
  </si>
  <si>
    <t> W.Ogloza et al. </t>
  </si>
  <si>
    <t>IBVS 5843 </t>
  </si>
  <si>
    <t>2453492.5545 </t>
  </si>
  <si>
    <t> 02.05.2005 01:18 </t>
  </si>
  <si>
    <t>363</t>
  </si>
  <si>
    <t> -0.0022 </t>
  </si>
  <si>
    <t>2454159.2527 </t>
  </si>
  <si>
    <t> 27.02.2007 18:03 </t>
  </si>
  <si>
    <t>607</t>
  </si>
  <si>
    <t> 0.0065 </t>
  </si>
  <si>
    <t>Ic</t>
  </si>
  <si>
    <t> K.Nakajima </t>
  </si>
  <si>
    <t>VSB 46 </t>
  </si>
  <si>
    <t>2455280.8670 </t>
  </si>
  <si>
    <t> 25.03.2010 08:48 </t>
  </si>
  <si>
    <t>1017.5</t>
  </si>
  <si>
    <t> C.Lacy </t>
  </si>
  <si>
    <t>IBVS 5972 </t>
  </si>
  <si>
    <t>2455295.8986 </t>
  </si>
  <si>
    <t> 09.04.2010 09:33 </t>
  </si>
  <si>
    <t>1023</t>
  </si>
  <si>
    <t> 0.0015 </t>
  </si>
  <si>
    <t>2455306.8257 </t>
  </si>
  <si>
    <t> 20.04.2010 07:49 </t>
  </si>
  <si>
    <t>1027</t>
  </si>
  <si>
    <t> -0.0007 </t>
  </si>
  <si>
    <t>2455317.7536 </t>
  </si>
  <si>
    <t> 01.05.2010 06:05 </t>
  </si>
  <si>
    <t>1031</t>
  </si>
  <si>
    <t>2455332.7877 </t>
  </si>
  <si>
    <t> 16.05.2010 06:54 </t>
  </si>
  <si>
    <t>1036.5</t>
  </si>
  <si>
    <t> 0.0041 </t>
  </si>
  <si>
    <t>2455369.6662 </t>
  </si>
  <si>
    <t> 22.06.2010 03:59 </t>
  </si>
  <si>
    <t>1050</t>
  </si>
  <si>
    <t> -0.0039 </t>
  </si>
  <si>
    <t>2455590.9881 </t>
  </si>
  <si>
    <t> 29.01.2011 11:42 </t>
  </si>
  <si>
    <t>1131</t>
  </si>
  <si>
    <t> -0.0010 </t>
  </si>
  <si>
    <t>2455623.7767 </t>
  </si>
  <si>
    <t> 03.03.2011 06:38 </t>
  </si>
  <si>
    <t>1143</t>
  </si>
  <si>
    <t> -0.0004 </t>
  </si>
  <si>
    <t>IBVS 6014 </t>
  </si>
  <si>
    <t>2455716.6799 </t>
  </si>
  <si>
    <t> 04.06.2011 04:19 </t>
  </si>
  <si>
    <t>1177</t>
  </si>
  <si>
    <t> 0.0034 </t>
  </si>
  <si>
    <t>2456712.61157 </t>
  </si>
  <si>
    <t> 24.02.2014 02:40 </t>
  </si>
  <si>
    <t>1541.5</t>
  </si>
  <si>
    <t> -0.00064 </t>
  </si>
  <si>
    <t> R.Uhlar </t>
  </si>
  <si>
    <t>IBVS 6114 </t>
  </si>
  <si>
    <t>2456771.35769 </t>
  </si>
  <si>
    <t> 23.04.2014 20:35 </t>
  </si>
  <si>
    <t>1563</t>
  </si>
  <si>
    <t> 0.00030 </t>
  </si>
  <si>
    <t>IBVS 5972</t>
  </si>
  <si>
    <t>IBVS 6196</t>
  </si>
  <si>
    <t>OEJV 0181</t>
  </si>
  <si>
    <t>VSB 060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</si>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</sst>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6" fillId="24" borderId="18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3" fillId="0" borderId="0" xfId="42" applyFont="1" applyAlignment="1">
      <alignment wrapText="1"/>
    </xf>
    <xf numFmtId="0" fontId="33" fillId="0" borderId="0" xfId="42" applyFont="1" applyAlignment="1">
      <alignment horizontal="center" wrapText="1"/>
    </xf>
    <xf numFmtId="0" fontId="33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3" fillId="0" borderId="0" xfId="42" applyFont="1" applyAlignment="1">
      <alignment horizontal="left"/>
    </xf>
    <xf numFmtId="0" fontId="33" fillId="0" borderId="0" xfId="42" applyFont="1" applyAlignment="1">
      <alignment horizont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Vir - O-C Diagr.</a:t>
            </a:r>
          </a:p>
        </c:rich>
      </c:tx>
      <c:layout>
        <c:manualLayout>
          <c:xMode val="edge"/>
          <c:yMode val="edge"/>
          <c:x val="0.38449145391559497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78942920199375"/>
          <c:w val="0.8109861001442757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17-4BE9-95D4-7F224425A85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9">
                  <c:v>1.5370000000984874E-2</c:v>
                </c:pt>
                <c:pt idx="20">
                  <c:v>1.7344999992928933E-2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17-4BE9-95D4-7F224425A85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17-4BE9-95D4-7F224425A85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0">
                  <c:v>0</c:v>
                </c:pt>
                <c:pt idx="1">
                  <c:v>4.7300000005634502E-3</c:v>
                </c:pt>
                <c:pt idx="2">
                  <c:v>1.0450000001583248E-2</c:v>
                </c:pt>
                <c:pt idx="3">
                  <c:v>7.7850000016042031E-3</c:v>
                </c:pt>
                <c:pt idx="4">
                  <c:v>1.2934999998833518E-2</c:v>
                </c:pt>
                <c:pt idx="5">
                  <c:v>1.2194999995699618E-2</c:v>
                </c:pt>
                <c:pt idx="6">
                  <c:v>2.1874999998544808E-2</c:v>
                </c:pt>
                <c:pt idx="7">
                  <c:v>1.4709999995830003E-2</c:v>
                </c:pt>
                <c:pt idx="8">
                  <c:v>1.8494999996619299E-2</c:v>
                </c:pt>
                <c:pt idx="9">
                  <c:v>1.6275000001769513E-2</c:v>
                </c:pt>
                <c:pt idx="10">
                  <c:v>1.4854999993985984E-2</c:v>
                </c:pt>
                <c:pt idx="11">
                  <c:v>2.1139999997103587E-2</c:v>
                </c:pt>
                <c:pt idx="12">
                  <c:v>1.3184999996155966E-2</c:v>
                </c:pt>
                <c:pt idx="13">
                  <c:v>1.6354999999748543E-2</c:v>
                </c:pt>
                <c:pt idx="14">
                  <c:v>1.6994999998132698E-2</c:v>
                </c:pt>
                <c:pt idx="15">
                  <c:v>2.0974999999452848E-2</c:v>
                </c:pt>
                <c:pt idx="16">
                  <c:v>1.8360000001848675E-2</c:v>
                </c:pt>
                <c:pt idx="17">
                  <c:v>1.938499999960186E-2</c:v>
                </c:pt>
                <c:pt idx="18">
                  <c:v>2.0590000000083819E-2</c:v>
                </c:pt>
                <c:pt idx="21">
                  <c:v>2.4164999864296988E-2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17-4BE9-95D4-7F224425A85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17-4BE9-95D4-7F224425A85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17-4BE9-95D4-7F224425A85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">
                    <c:v>8.9999999999999998E-4</c:v>
                  </c:pt>
                  <c:pt idx="5">
                    <c:v>1.8E-3</c:v>
                  </c:pt>
                  <c:pt idx="14">
                    <c:v>2.9999999999999997E-4</c:v>
                  </c:pt>
                  <c:pt idx="15">
                    <c:v>2.9999999999999997E-4</c:v>
                  </c:pt>
                  <c:pt idx="16">
                    <c:v>2.9E-4</c:v>
                  </c:pt>
                  <c:pt idx="17">
                    <c:v>4.6000000000000001E-4</c:v>
                  </c:pt>
                  <c:pt idx="18">
                    <c:v>0</c:v>
                  </c:pt>
                  <c:pt idx="19">
                    <c:v>1.52E-2</c:v>
                  </c:pt>
                  <c:pt idx="20">
                    <c:v>4.0000000000000001E-3</c:v>
                  </c:pt>
                  <c:pt idx="2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17-4BE9-95D4-7F224425A85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142</c:v>
                </c:pt>
                <c:pt idx="2">
                  <c:v>942</c:v>
                </c:pt>
                <c:pt idx="3">
                  <c:v>943.5</c:v>
                </c:pt>
                <c:pt idx="4">
                  <c:v>2280.5</c:v>
                </c:pt>
                <c:pt idx="5">
                  <c:v>2288.5</c:v>
                </c:pt>
                <c:pt idx="6">
                  <c:v>2532.5</c:v>
                </c:pt>
                <c:pt idx="7">
                  <c:v>2943</c:v>
                </c:pt>
                <c:pt idx="8">
                  <c:v>2948.5</c:v>
                </c:pt>
                <c:pt idx="9">
                  <c:v>2952.5</c:v>
                </c:pt>
                <c:pt idx="10">
                  <c:v>2956.5</c:v>
                </c:pt>
                <c:pt idx="11">
                  <c:v>2962</c:v>
                </c:pt>
                <c:pt idx="12">
                  <c:v>2975.5</c:v>
                </c:pt>
                <c:pt idx="13">
                  <c:v>3056.5</c:v>
                </c:pt>
                <c:pt idx="14">
                  <c:v>3068.5</c:v>
                </c:pt>
                <c:pt idx="15">
                  <c:v>3102.5</c:v>
                </c:pt>
                <c:pt idx="16">
                  <c:v>3467</c:v>
                </c:pt>
                <c:pt idx="17">
                  <c:v>3488.5</c:v>
                </c:pt>
                <c:pt idx="18">
                  <c:v>3607</c:v>
                </c:pt>
                <c:pt idx="19">
                  <c:v>3621</c:v>
                </c:pt>
                <c:pt idx="20">
                  <c:v>3883.5</c:v>
                </c:pt>
                <c:pt idx="21">
                  <c:v>4429.5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3.7150702584013758E-3</c:v>
                </c:pt>
                <c:pt idx="1">
                  <c:v>4.3365694731165539E-3</c:v>
                </c:pt>
                <c:pt idx="2">
                  <c:v>7.8379734996809371E-3</c:v>
                </c:pt>
                <c:pt idx="3">
                  <c:v>7.844538632230745E-3</c:v>
                </c:pt>
                <c:pt idx="4">
                  <c:v>1.3696260111626469E-2</c:v>
                </c:pt>
                <c:pt idx="5">
                  <c:v>1.3731274151892113E-2</c:v>
                </c:pt>
                <c:pt idx="6">
                  <c:v>1.479920237999425E-2</c:v>
                </c:pt>
                <c:pt idx="7">
                  <c:v>1.6595860321125099E-2</c:v>
                </c:pt>
                <c:pt idx="8">
                  <c:v>1.6619932473807726E-2</c:v>
                </c:pt>
                <c:pt idx="9">
                  <c:v>1.6637439493940552E-2</c:v>
                </c:pt>
                <c:pt idx="10">
                  <c:v>1.6654946514073371E-2</c:v>
                </c:pt>
                <c:pt idx="11">
                  <c:v>1.6679018666756001E-2</c:v>
                </c:pt>
                <c:pt idx="12">
                  <c:v>1.6738104859704277E-2</c:v>
                </c:pt>
                <c:pt idx="13">
                  <c:v>1.7092622017393921E-2</c:v>
                </c:pt>
                <c:pt idx="14">
                  <c:v>1.7145143077792385E-2</c:v>
                </c:pt>
                <c:pt idx="15">
                  <c:v>1.7293952748921371E-2</c:v>
                </c:pt>
                <c:pt idx="16">
                  <c:v>1.8889279958524768E-2</c:v>
                </c:pt>
                <c:pt idx="17">
                  <c:v>1.8983380191738689E-2</c:v>
                </c:pt>
                <c:pt idx="18">
                  <c:v>1.9502025663173536E-2</c:v>
                </c:pt>
                <c:pt idx="19">
                  <c:v>1.9563300233638413E-2</c:v>
                </c:pt>
                <c:pt idx="20">
                  <c:v>2.0712198429854854E-2</c:v>
                </c:pt>
                <c:pt idx="21">
                  <c:v>2.3101906677985042E-2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17-4BE9-95D4-7F224425A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900088"/>
        <c:axId val="1"/>
      </c:scatterChart>
      <c:valAx>
        <c:axId val="846900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900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4921861831491"/>
          <c:w val="0.6752832228766234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342900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04B0EA6-8013-8942-94FD-BF314B3ED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72" TargetMode="External"/><Relationship Id="rId13" Type="http://schemas.openxmlformats.org/officeDocument/2006/relationships/hyperlink" Target="http://www.konkoly.hu/cgi-bin/IBVS?5972" TargetMode="External"/><Relationship Id="rId18" Type="http://schemas.openxmlformats.org/officeDocument/2006/relationships/hyperlink" Target="http://www.konkoly.hu/cgi-bin/IBVS?6114" TargetMode="External"/><Relationship Id="rId3" Type="http://schemas.openxmlformats.org/officeDocument/2006/relationships/hyperlink" Target="http://www.konkoly.hu/cgi-bin/IBVS?4272" TargetMode="External"/><Relationship Id="rId7" Type="http://schemas.openxmlformats.org/officeDocument/2006/relationships/hyperlink" Target="http://vsolj.cetus-net.org/no46.pdf" TargetMode="External"/><Relationship Id="rId12" Type="http://schemas.openxmlformats.org/officeDocument/2006/relationships/hyperlink" Target="http://www.konkoly.hu/cgi-bin/IBVS?5972" TargetMode="External"/><Relationship Id="rId17" Type="http://schemas.openxmlformats.org/officeDocument/2006/relationships/hyperlink" Target="http://www.konkoly.hu/cgi-bin/IBVS?6114" TargetMode="External"/><Relationship Id="rId2" Type="http://schemas.openxmlformats.org/officeDocument/2006/relationships/hyperlink" Target="http://www.konkoly.hu/cgi-bin/IBVS?4272" TargetMode="External"/><Relationship Id="rId16" Type="http://schemas.openxmlformats.org/officeDocument/2006/relationships/hyperlink" Target="http://www.konkoly.hu/cgi-bin/IBVS?6014" TargetMode="External"/><Relationship Id="rId1" Type="http://schemas.openxmlformats.org/officeDocument/2006/relationships/hyperlink" Target="http://www.konkoly.hu/cgi-bin/IBVS?4272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www.konkoly.hu/cgi-bin/IBVS?6014" TargetMode="External"/><Relationship Id="rId10" Type="http://schemas.openxmlformats.org/officeDocument/2006/relationships/hyperlink" Target="http://www.konkoly.hu/cgi-bin/IBVS?5972" TargetMode="External"/><Relationship Id="rId4" Type="http://schemas.openxmlformats.org/officeDocument/2006/relationships/hyperlink" Target="http://www.konkoly.hu/cgi-bin/IBVS?4272" TargetMode="External"/><Relationship Id="rId9" Type="http://schemas.openxmlformats.org/officeDocument/2006/relationships/hyperlink" Target="http://www.konkoly.hu/cgi-bin/IBVS?5972" TargetMode="External"/><Relationship Id="rId14" Type="http://schemas.openxmlformats.org/officeDocument/2006/relationships/hyperlink" Target="http://www.konkoly.hu/cgi-bin/IBVS?59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9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33</v>
      </c>
    </row>
    <row r="2" spans="1:6" x14ac:dyDescent="0.2">
      <c r="A2" t="s">
        <v>23</v>
      </c>
      <c r="B2" s="14" t="s">
        <v>32</v>
      </c>
    </row>
    <row r="4" spans="1:6" ht="14.25" thickTop="1" thickBot="1" x14ac:dyDescent="0.25">
      <c r="A4" s="4" t="s">
        <v>0</v>
      </c>
      <c r="C4" s="10" t="s">
        <v>30</v>
      </c>
      <c r="D4" s="11" t="s">
        <v>30</v>
      </c>
    </row>
    <row r="5" spans="1:6" ht="13.5" thickTop="1" x14ac:dyDescent="0.2">
      <c r="A5" s="15" t="s">
        <v>34</v>
      </c>
      <c r="B5" s="16"/>
      <c r="C5" s="17">
        <v>-9.5</v>
      </c>
      <c r="D5" s="16" t="s">
        <v>35</v>
      </c>
    </row>
    <row r="6" spans="1:6" x14ac:dyDescent="0.2">
      <c r="A6" s="4" t="s">
        <v>1</v>
      </c>
    </row>
    <row r="7" spans="1:6" x14ac:dyDescent="0.2">
      <c r="A7" t="s">
        <v>2</v>
      </c>
      <c r="C7" s="9">
        <v>47239.605100000001</v>
      </c>
    </row>
    <row r="8" spans="1:6" x14ac:dyDescent="0.2">
      <c r="A8" t="s">
        <v>3</v>
      </c>
      <c r="C8">
        <v>2.7323300000000001</v>
      </c>
      <c r="D8">
        <v>2.73</v>
      </c>
    </row>
    <row r="9" spans="1:6" x14ac:dyDescent="0.2">
      <c r="A9" s="31" t="s">
        <v>39</v>
      </c>
      <c r="B9" s="32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6"/>
      <c r="B10" s="16"/>
      <c r="C10" s="3" t="s">
        <v>19</v>
      </c>
      <c r="D10" s="3" t="s">
        <v>20</v>
      </c>
      <c r="E10" s="16"/>
    </row>
    <row r="11" spans="1:6" x14ac:dyDescent="0.2">
      <c r="A11" s="16" t="s">
        <v>15</v>
      </c>
      <c r="B11" s="16"/>
      <c r="C11" s="18">
        <f ca="1">INTERCEPT(INDIRECT($D$9):G987,INDIRECT($C$9):F987)</f>
        <v>3.7150702584013758E-3</v>
      </c>
      <c r="D11" s="19"/>
      <c r="E11" s="16"/>
    </row>
    <row r="12" spans="1:6" x14ac:dyDescent="0.2">
      <c r="A12" s="16" t="s">
        <v>16</v>
      </c>
      <c r="B12" s="16"/>
      <c r="C12" s="18">
        <f ca="1">SLOPE(INDIRECT($D$9):G987,INDIRECT($C$9):F987)</f>
        <v>4.3767550332054783E-6</v>
      </c>
      <c r="D12" s="19"/>
      <c r="E12" s="16"/>
    </row>
    <row r="13" spans="1:6" x14ac:dyDescent="0.2">
      <c r="A13" s="16" t="s">
        <v>18</v>
      </c>
      <c r="B13" s="16"/>
      <c r="C13" s="19" t="s">
        <v>13</v>
      </c>
    </row>
    <row r="14" spans="1:6" x14ac:dyDescent="0.2">
      <c r="A14" s="16"/>
      <c r="B14" s="16"/>
      <c r="C14" s="16"/>
    </row>
    <row r="15" spans="1:6" x14ac:dyDescent="0.2">
      <c r="A15" s="22" t="s">
        <v>17</v>
      </c>
      <c r="B15" s="16"/>
      <c r="C15" s="23">
        <f ca="1">(C7+C11)+(C8+C12)*INT(MAX(F21:F3528))</f>
        <v>59341.117769718301</v>
      </c>
      <c r="E15" s="24" t="s">
        <v>41</v>
      </c>
      <c r="F15" s="17">
        <v>1</v>
      </c>
    </row>
    <row r="16" spans="1:6" x14ac:dyDescent="0.2">
      <c r="A16" s="26" t="s">
        <v>4</v>
      </c>
      <c r="B16" s="16"/>
      <c r="C16" s="27">
        <f ca="1">+C8+C12</f>
        <v>2.7323343767550332</v>
      </c>
      <c r="E16" s="24" t="s">
        <v>36</v>
      </c>
      <c r="F16" s="25">
        <f ca="1">NOW()+15018.5+$C$5/24</f>
        <v>59970.533647685181</v>
      </c>
    </row>
    <row r="17" spans="1:17" ht="13.5" thickBot="1" x14ac:dyDescent="0.25">
      <c r="A17" s="24" t="s">
        <v>31</v>
      </c>
      <c r="B17" s="16"/>
      <c r="C17" s="16">
        <f>COUNT(C21:C2186)</f>
        <v>22</v>
      </c>
      <c r="E17" s="24" t="s">
        <v>42</v>
      </c>
      <c r="F17" s="25">
        <f ca="1">ROUND(2*(F16-$C$7)/$C$8,0)/2+F15</f>
        <v>4660.5</v>
      </c>
    </row>
    <row r="18" spans="1:17" ht="14.25" thickTop="1" thickBot="1" x14ac:dyDescent="0.25">
      <c r="A18" s="26" t="s">
        <v>5</v>
      </c>
      <c r="B18" s="16"/>
      <c r="C18" s="29">
        <f ca="1">+C15</f>
        <v>59341.117769718301</v>
      </c>
      <c r="D18" s="30">
        <f ca="1">+C16</f>
        <v>2.7323343767550332</v>
      </c>
      <c r="E18" s="24" t="s">
        <v>37</v>
      </c>
      <c r="F18" s="21">
        <f ca="1">ROUND(2*(F16-$C$15)/$C$16,0)/2+F15</f>
        <v>231.5</v>
      </c>
    </row>
    <row r="19" spans="1:17" ht="13.5" thickTop="1" x14ac:dyDescent="0.2">
      <c r="E19" s="24" t="s">
        <v>38</v>
      </c>
      <c r="F19" s="28">
        <f ca="1">+$C$15+$C$16*F18-15018.5-$C$5/24</f>
        <v>44955.549011270428</v>
      </c>
    </row>
    <row r="20" spans="1:17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51</v>
      </c>
      <c r="I20" s="6" t="s">
        <v>54</v>
      </c>
      <c r="J20" s="6" t="s">
        <v>48</v>
      </c>
      <c r="K20" s="6" t="s">
        <v>47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x14ac:dyDescent="0.2">
      <c r="A21" s="7" t="s">
        <v>27</v>
      </c>
      <c r="B21" s="8" t="s">
        <v>28</v>
      </c>
      <c r="C21" s="13">
        <v>47239.605100000001</v>
      </c>
      <c r="D21" s="12"/>
      <c r="E21">
        <f t="shared" ref="E21:E38" si="0">+(C21-C$7)/C$8</f>
        <v>0</v>
      </c>
      <c r="F21">
        <f t="shared" ref="F21:F41" si="1">ROUND(2*E21,0)/2</f>
        <v>0</v>
      </c>
      <c r="G21">
        <f t="shared" ref="G21:G38" si="2">+C21-(C$7+F21*C$8)</f>
        <v>0</v>
      </c>
      <c r="K21">
        <f t="shared" ref="K21:K39" si="3">+G21</f>
        <v>0</v>
      </c>
      <c r="O21">
        <f t="shared" ref="O21:O38" ca="1" si="4">+C$11+C$12*$F21</f>
        <v>3.7150702584013758E-3</v>
      </c>
      <c r="Q21" s="2">
        <f t="shared" ref="Q21:Q38" si="5">+C21-15018.5</f>
        <v>32221.105100000001</v>
      </c>
    </row>
    <row r="22" spans="1:17" x14ac:dyDescent="0.2">
      <c r="A22" s="7" t="s">
        <v>27</v>
      </c>
      <c r="B22" s="8" t="s">
        <v>28</v>
      </c>
      <c r="C22" s="13">
        <v>47627.600689999999</v>
      </c>
      <c r="D22" s="12"/>
      <c r="E22">
        <f t="shared" si="0"/>
        <v>142.00173112325328</v>
      </c>
      <c r="F22">
        <f t="shared" si="1"/>
        <v>142</v>
      </c>
      <c r="G22">
        <f t="shared" si="2"/>
        <v>4.7300000005634502E-3</v>
      </c>
      <c r="K22">
        <f t="shared" si="3"/>
        <v>4.7300000005634502E-3</v>
      </c>
      <c r="O22">
        <f t="shared" ca="1" si="4"/>
        <v>4.3365694731165539E-3</v>
      </c>
      <c r="Q22" s="2">
        <f t="shared" si="5"/>
        <v>32609.100689999999</v>
      </c>
    </row>
    <row r="23" spans="1:17" x14ac:dyDescent="0.2">
      <c r="A23" s="7" t="s">
        <v>27</v>
      </c>
      <c r="B23" s="8" t="s">
        <v>28</v>
      </c>
      <c r="C23" s="13">
        <v>49813.470410000002</v>
      </c>
      <c r="D23" s="13"/>
      <c r="E23" s="33">
        <f t="shared" si="0"/>
        <v>942.00382457463081</v>
      </c>
      <c r="F23">
        <f t="shared" si="1"/>
        <v>942</v>
      </c>
      <c r="G23">
        <f t="shared" si="2"/>
        <v>1.0450000001583248E-2</v>
      </c>
      <c r="K23">
        <f t="shared" si="3"/>
        <v>1.0450000001583248E-2</v>
      </c>
      <c r="O23">
        <f t="shared" ca="1" si="4"/>
        <v>7.8379734996809371E-3</v>
      </c>
      <c r="Q23" s="2">
        <f t="shared" si="5"/>
        <v>34794.970410000002</v>
      </c>
    </row>
    <row r="24" spans="1:17" x14ac:dyDescent="0.2">
      <c r="A24" s="7" t="s">
        <v>27</v>
      </c>
      <c r="B24" s="8" t="s">
        <v>29</v>
      </c>
      <c r="C24" s="13">
        <v>49817.56624</v>
      </c>
      <c r="D24" s="13"/>
      <c r="E24" s="33">
        <f t="shared" si="0"/>
        <v>943.50284921660239</v>
      </c>
      <c r="F24">
        <f t="shared" si="1"/>
        <v>943.5</v>
      </c>
      <c r="G24">
        <f t="shared" si="2"/>
        <v>7.7850000016042031E-3</v>
      </c>
      <c r="K24">
        <f t="shared" si="3"/>
        <v>7.7850000016042031E-3</v>
      </c>
      <c r="O24">
        <f t="shared" ca="1" si="4"/>
        <v>7.844538632230745E-3</v>
      </c>
      <c r="Q24" s="2">
        <f t="shared" si="5"/>
        <v>34799.06624</v>
      </c>
    </row>
    <row r="25" spans="1:17" x14ac:dyDescent="0.2">
      <c r="A25" s="26" t="s">
        <v>40</v>
      </c>
      <c r="B25" s="34" t="s">
        <v>29</v>
      </c>
      <c r="C25" s="35">
        <v>53470.696600000003</v>
      </c>
      <c r="D25" s="35">
        <v>8.9999999999999998E-4</v>
      </c>
      <c r="E25" s="33">
        <f t="shared" si="0"/>
        <v>2280.5047340548185</v>
      </c>
      <c r="F25">
        <f t="shared" si="1"/>
        <v>2280.5</v>
      </c>
      <c r="G25">
        <f t="shared" si="2"/>
        <v>1.2934999998833518E-2</v>
      </c>
      <c r="K25">
        <f t="shared" si="3"/>
        <v>1.2934999998833518E-2</v>
      </c>
      <c r="O25">
        <f t="shared" ca="1" si="4"/>
        <v>1.3696260111626469E-2</v>
      </c>
      <c r="Q25" s="2">
        <f t="shared" si="5"/>
        <v>38452.196600000003</v>
      </c>
    </row>
    <row r="26" spans="1:17" x14ac:dyDescent="0.2">
      <c r="A26" s="26" t="s">
        <v>40</v>
      </c>
      <c r="B26" s="34" t="s">
        <v>29</v>
      </c>
      <c r="C26" s="35">
        <v>53492.554499999998</v>
      </c>
      <c r="D26" s="35">
        <v>1.8E-3</v>
      </c>
      <c r="E26" s="33">
        <f t="shared" si="0"/>
        <v>2288.5044632236945</v>
      </c>
      <c r="F26">
        <f t="shared" si="1"/>
        <v>2288.5</v>
      </c>
      <c r="G26">
        <f t="shared" si="2"/>
        <v>1.2194999995699618E-2</v>
      </c>
      <c r="K26">
        <f t="shared" si="3"/>
        <v>1.2194999995699618E-2</v>
      </c>
      <c r="O26">
        <f t="shared" ca="1" si="4"/>
        <v>1.3731274151892113E-2</v>
      </c>
      <c r="Q26" s="2">
        <f t="shared" si="5"/>
        <v>38474.054499999998</v>
      </c>
    </row>
    <row r="27" spans="1:17" x14ac:dyDescent="0.2">
      <c r="A27" s="50" t="s">
        <v>87</v>
      </c>
      <c r="B27" s="51" t="s">
        <v>29</v>
      </c>
      <c r="C27" s="49">
        <v>54159.252699999997</v>
      </c>
      <c r="D27" s="12"/>
      <c r="E27" s="33">
        <f t="shared" si="0"/>
        <v>2532.5080059875622</v>
      </c>
      <c r="F27">
        <f t="shared" si="1"/>
        <v>2532.5</v>
      </c>
      <c r="G27">
        <f t="shared" si="2"/>
        <v>2.1874999998544808E-2</v>
      </c>
      <c r="K27">
        <f t="shared" si="3"/>
        <v>2.1874999998544808E-2</v>
      </c>
      <c r="O27">
        <f t="shared" ca="1" si="4"/>
        <v>1.479920237999425E-2</v>
      </c>
      <c r="Q27" s="2">
        <f t="shared" si="5"/>
        <v>39140.752699999997</v>
      </c>
    </row>
    <row r="28" spans="1:17" x14ac:dyDescent="0.2">
      <c r="A28" s="50" t="s">
        <v>135</v>
      </c>
      <c r="B28" s="51" t="s">
        <v>28</v>
      </c>
      <c r="C28" s="49">
        <v>55280.866999999998</v>
      </c>
      <c r="D28" s="12"/>
      <c r="E28" s="33">
        <f t="shared" si="0"/>
        <v>2943.0053836835218</v>
      </c>
      <c r="F28">
        <f t="shared" si="1"/>
        <v>2943</v>
      </c>
      <c r="G28">
        <f t="shared" si="2"/>
        <v>1.4709999995830003E-2</v>
      </c>
      <c r="K28">
        <f t="shared" si="3"/>
        <v>1.4709999995830003E-2</v>
      </c>
      <c r="O28">
        <f t="shared" ca="1" si="4"/>
        <v>1.6595860321125099E-2</v>
      </c>
      <c r="Q28" s="2">
        <f t="shared" si="5"/>
        <v>40262.366999999998</v>
      </c>
    </row>
    <row r="29" spans="1:17" x14ac:dyDescent="0.2">
      <c r="A29" s="50" t="s">
        <v>135</v>
      </c>
      <c r="B29" s="51" t="s">
        <v>29</v>
      </c>
      <c r="C29" s="49">
        <v>55295.8986</v>
      </c>
      <c r="D29" s="12"/>
      <c r="E29" s="33">
        <f t="shared" si="0"/>
        <v>2948.5067689481139</v>
      </c>
      <c r="F29">
        <f t="shared" si="1"/>
        <v>2948.5</v>
      </c>
      <c r="G29">
        <f t="shared" si="2"/>
        <v>1.8494999996619299E-2</v>
      </c>
      <c r="K29">
        <f t="shared" si="3"/>
        <v>1.8494999996619299E-2</v>
      </c>
      <c r="O29">
        <f t="shared" ca="1" si="4"/>
        <v>1.6619932473807726E-2</v>
      </c>
      <c r="Q29" s="2">
        <f t="shared" si="5"/>
        <v>40277.3986</v>
      </c>
    </row>
    <row r="30" spans="1:17" x14ac:dyDescent="0.2">
      <c r="A30" s="50" t="s">
        <v>135</v>
      </c>
      <c r="B30" s="51" t="s">
        <v>29</v>
      </c>
      <c r="C30" s="49">
        <v>55306.825700000001</v>
      </c>
      <c r="D30" s="12"/>
      <c r="E30" s="33">
        <f t="shared" si="0"/>
        <v>2952.5059564547473</v>
      </c>
      <c r="F30">
        <f t="shared" si="1"/>
        <v>2952.5</v>
      </c>
      <c r="G30">
        <f t="shared" si="2"/>
        <v>1.6275000001769513E-2</v>
      </c>
      <c r="K30">
        <f t="shared" si="3"/>
        <v>1.6275000001769513E-2</v>
      </c>
      <c r="O30">
        <f t="shared" ca="1" si="4"/>
        <v>1.6637439493940552E-2</v>
      </c>
      <c r="Q30" s="2">
        <f t="shared" si="5"/>
        <v>40288.325700000001</v>
      </c>
    </row>
    <row r="31" spans="1:17" x14ac:dyDescent="0.2">
      <c r="A31" s="50" t="s">
        <v>135</v>
      </c>
      <c r="B31" s="51" t="s">
        <v>29</v>
      </c>
      <c r="C31" s="49">
        <v>55317.753599999996</v>
      </c>
      <c r="D31" s="12"/>
      <c r="E31" s="33">
        <f t="shared" si="0"/>
        <v>2956.5054367517814</v>
      </c>
      <c r="F31">
        <f t="shared" si="1"/>
        <v>2956.5</v>
      </c>
      <c r="G31">
        <f t="shared" si="2"/>
        <v>1.4854999993985984E-2</v>
      </c>
      <c r="K31">
        <f t="shared" si="3"/>
        <v>1.4854999993985984E-2</v>
      </c>
      <c r="O31">
        <f t="shared" ca="1" si="4"/>
        <v>1.6654946514073371E-2</v>
      </c>
      <c r="Q31" s="2">
        <f t="shared" si="5"/>
        <v>40299.253599999996</v>
      </c>
    </row>
    <row r="32" spans="1:17" x14ac:dyDescent="0.2">
      <c r="A32" s="50" t="s">
        <v>135</v>
      </c>
      <c r="B32" s="51" t="s">
        <v>28</v>
      </c>
      <c r="C32" s="49">
        <v>55332.787700000001</v>
      </c>
      <c r="D32" s="12"/>
      <c r="E32" s="33">
        <f t="shared" si="0"/>
        <v>2962.0077369863816</v>
      </c>
      <c r="F32">
        <f t="shared" si="1"/>
        <v>2962</v>
      </c>
      <c r="G32">
        <f t="shared" si="2"/>
        <v>2.1139999997103587E-2</v>
      </c>
      <c r="K32">
        <f t="shared" si="3"/>
        <v>2.1139999997103587E-2</v>
      </c>
      <c r="O32">
        <f t="shared" ca="1" si="4"/>
        <v>1.6679018666756001E-2</v>
      </c>
      <c r="Q32" s="2">
        <f t="shared" si="5"/>
        <v>40314.287700000001</v>
      </c>
    </row>
    <row r="33" spans="1:17" x14ac:dyDescent="0.2">
      <c r="A33" s="50" t="s">
        <v>135</v>
      </c>
      <c r="B33" s="51" t="s">
        <v>29</v>
      </c>
      <c r="C33" s="49">
        <v>55369.6662</v>
      </c>
      <c r="D33" s="12"/>
      <c r="E33" s="33">
        <f t="shared" si="0"/>
        <v>2975.5048255518177</v>
      </c>
      <c r="F33">
        <f t="shared" si="1"/>
        <v>2975.5</v>
      </c>
      <c r="G33">
        <f t="shared" si="2"/>
        <v>1.3184999996155966E-2</v>
      </c>
      <c r="K33">
        <f t="shared" si="3"/>
        <v>1.3184999996155966E-2</v>
      </c>
      <c r="O33">
        <f t="shared" ca="1" si="4"/>
        <v>1.6738104859704277E-2</v>
      </c>
      <c r="Q33" s="2">
        <f t="shared" si="5"/>
        <v>40351.1662</v>
      </c>
    </row>
    <row r="34" spans="1:17" x14ac:dyDescent="0.2">
      <c r="A34" s="50" t="s">
        <v>135</v>
      </c>
      <c r="B34" s="51" t="s">
        <v>29</v>
      </c>
      <c r="C34" s="49">
        <v>55590.988100000002</v>
      </c>
      <c r="D34" s="12"/>
      <c r="E34" s="33">
        <f t="shared" si="0"/>
        <v>3056.5059857337883</v>
      </c>
      <c r="F34">
        <f t="shared" si="1"/>
        <v>3056.5</v>
      </c>
      <c r="G34">
        <f t="shared" si="2"/>
        <v>1.6354999999748543E-2</v>
      </c>
      <c r="K34">
        <f t="shared" si="3"/>
        <v>1.6354999999748543E-2</v>
      </c>
      <c r="O34">
        <f t="shared" ca="1" si="4"/>
        <v>1.7092622017393921E-2</v>
      </c>
      <c r="Q34" s="2">
        <f t="shared" si="5"/>
        <v>40572.488100000002</v>
      </c>
    </row>
    <row r="35" spans="1:17" x14ac:dyDescent="0.2">
      <c r="A35" s="7" t="s">
        <v>43</v>
      </c>
      <c r="B35" s="8" t="s">
        <v>29</v>
      </c>
      <c r="C35" s="7">
        <v>55623.776700000002</v>
      </c>
      <c r="D35" s="7">
        <v>2.9999999999999997E-4</v>
      </c>
      <c r="E35" s="33">
        <f t="shared" si="0"/>
        <v>3068.5062199661097</v>
      </c>
      <c r="F35">
        <f t="shared" si="1"/>
        <v>3068.5</v>
      </c>
      <c r="G35">
        <f t="shared" si="2"/>
        <v>1.6994999998132698E-2</v>
      </c>
      <c r="K35">
        <f t="shared" si="3"/>
        <v>1.6994999998132698E-2</v>
      </c>
      <c r="O35">
        <f t="shared" ca="1" si="4"/>
        <v>1.7145143077792385E-2</v>
      </c>
      <c r="Q35" s="2">
        <f t="shared" si="5"/>
        <v>40605.276700000002</v>
      </c>
    </row>
    <row r="36" spans="1:17" x14ac:dyDescent="0.2">
      <c r="A36" s="7" t="s">
        <v>43</v>
      </c>
      <c r="B36" s="8" t="s">
        <v>29</v>
      </c>
      <c r="C36" s="7">
        <v>55716.679900000003</v>
      </c>
      <c r="D36" s="7">
        <v>2.9999999999999997E-4</v>
      </c>
      <c r="E36" s="33">
        <f t="shared" si="0"/>
        <v>3102.5076765983617</v>
      </c>
      <c r="F36">
        <f t="shared" si="1"/>
        <v>3102.5</v>
      </c>
      <c r="G36">
        <f t="shared" si="2"/>
        <v>2.0974999999452848E-2</v>
      </c>
      <c r="K36">
        <f t="shared" si="3"/>
        <v>2.0974999999452848E-2</v>
      </c>
      <c r="O36">
        <f t="shared" ca="1" si="4"/>
        <v>1.7293952748921371E-2</v>
      </c>
      <c r="Q36" s="2">
        <f t="shared" si="5"/>
        <v>40698.179900000003</v>
      </c>
    </row>
    <row r="37" spans="1:17" x14ac:dyDescent="0.2">
      <c r="A37" s="52" t="s">
        <v>44</v>
      </c>
      <c r="B37" s="53" t="s">
        <v>28</v>
      </c>
      <c r="C37" s="52">
        <v>56712.611570000001</v>
      </c>
      <c r="D37" s="52">
        <v>2.9E-4</v>
      </c>
      <c r="E37" s="33">
        <f t="shared" si="0"/>
        <v>3467.0067195397332</v>
      </c>
      <c r="F37">
        <f t="shared" si="1"/>
        <v>3467</v>
      </c>
      <c r="G37">
        <f t="shared" si="2"/>
        <v>1.8360000001848675E-2</v>
      </c>
      <c r="K37">
        <f t="shared" si="3"/>
        <v>1.8360000001848675E-2</v>
      </c>
      <c r="O37">
        <f t="shared" ca="1" si="4"/>
        <v>1.8889279958524768E-2</v>
      </c>
      <c r="Q37" s="2">
        <f t="shared" si="5"/>
        <v>41694.111570000001</v>
      </c>
    </row>
    <row r="38" spans="1:17" x14ac:dyDescent="0.2">
      <c r="A38" s="52" t="s">
        <v>44</v>
      </c>
      <c r="B38" s="53" t="s">
        <v>29</v>
      </c>
      <c r="C38" s="52">
        <v>56771.357689999997</v>
      </c>
      <c r="D38" s="52">
        <v>4.6000000000000001E-4</v>
      </c>
      <c r="E38" s="33">
        <f t="shared" si="0"/>
        <v>3488.5070946774349</v>
      </c>
      <c r="F38">
        <f t="shared" si="1"/>
        <v>3488.5</v>
      </c>
      <c r="G38">
        <f t="shared" si="2"/>
        <v>1.938499999960186E-2</v>
      </c>
      <c r="K38">
        <f t="shared" si="3"/>
        <v>1.938499999960186E-2</v>
      </c>
      <c r="O38">
        <f t="shared" ca="1" si="4"/>
        <v>1.8983380191738689E-2</v>
      </c>
      <c r="Q38" s="2">
        <f t="shared" si="5"/>
        <v>41752.857689999997</v>
      </c>
    </row>
    <row r="39" spans="1:17" x14ac:dyDescent="0.2">
      <c r="A39" s="61" t="s">
        <v>138</v>
      </c>
      <c r="B39" s="62" t="s">
        <v>28</v>
      </c>
      <c r="C39" s="61">
        <v>57095.14</v>
      </c>
      <c r="D39" s="61" t="s">
        <v>85</v>
      </c>
      <c r="E39" s="33">
        <f>+(C39-C$7)/C$8</f>
        <v>3607.0075356929792</v>
      </c>
      <c r="F39">
        <f t="shared" si="1"/>
        <v>3607</v>
      </c>
      <c r="G39">
        <f>+C39-(C$7+F39*C$8)</f>
        <v>2.0590000000083819E-2</v>
      </c>
      <c r="K39">
        <f t="shared" si="3"/>
        <v>2.0590000000083819E-2</v>
      </c>
      <c r="O39">
        <f ca="1">+C$11+C$12*$F39</f>
        <v>1.9502025663173536E-2</v>
      </c>
      <c r="Q39" s="2">
        <f>+C39-15018.5</f>
        <v>42076.639999999999</v>
      </c>
    </row>
    <row r="40" spans="1:17" x14ac:dyDescent="0.2">
      <c r="A40" s="54" t="s">
        <v>136</v>
      </c>
      <c r="B40" s="55" t="s">
        <v>29</v>
      </c>
      <c r="C40" s="56">
        <v>57133.3874</v>
      </c>
      <c r="D40" s="56">
        <v>1.52E-2</v>
      </c>
      <c r="E40" s="33">
        <f>+(C40-C$7)/C$8</f>
        <v>3621.0056252356044</v>
      </c>
      <c r="F40">
        <f t="shared" si="1"/>
        <v>3621</v>
      </c>
      <c r="G40">
        <f>+C40-(C$7+F40*C$8)</f>
        <v>1.5370000000984874E-2</v>
      </c>
      <c r="I40">
        <f>+G40</f>
        <v>1.5370000000984874E-2</v>
      </c>
      <c r="O40">
        <f ca="1">+C$11+C$12*$F40</f>
        <v>1.9563300233638413E-2</v>
      </c>
      <c r="Q40" s="2">
        <f>+C40-15018.5</f>
        <v>42114.8874</v>
      </c>
    </row>
    <row r="41" spans="1:17" x14ac:dyDescent="0.2">
      <c r="A41" s="57" t="s">
        <v>137</v>
      </c>
      <c r="B41" s="58" t="s">
        <v>29</v>
      </c>
      <c r="C41" s="59">
        <v>57850.625999999997</v>
      </c>
      <c r="D41" s="60">
        <v>4.0000000000000001E-3</v>
      </c>
      <c r="E41" s="33">
        <f>+(C41-C$7)/C$8</f>
        <v>3883.5063480619087</v>
      </c>
      <c r="F41">
        <f t="shared" si="1"/>
        <v>3883.5</v>
      </c>
      <c r="G41">
        <f>+C41-(C$7+F41*C$8)</f>
        <v>1.7344999992928933E-2</v>
      </c>
      <c r="I41">
        <f>+G41</f>
        <v>1.7344999992928933E-2</v>
      </c>
      <c r="O41">
        <f ca="1">+C$11+C$12*$F41</f>
        <v>2.0712198429854854E-2</v>
      </c>
      <c r="Q41" s="2">
        <f>+C41-15018.5</f>
        <v>42832.125999999997</v>
      </c>
    </row>
    <row r="42" spans="1:17" x14ac:dyDescent="0.2">
      <c r="A42" s="63" t="s">
        <v>139</v>
      </c>
      <c r="B42" s="64" t="s">
        <v>29</v>
      </c>
      <c r="C42" s="65">
        <v>59342.48499999987</v>
      </c>
      <c r="D42" s="63">
        <v>0.01</v>
      </c>
      <c r="E42" s="33">
        <f>+(C42-C$7)/C$8</f>
        <v>4429.5088441000426</v>
      </c>
      <c r="F42">
        <f t="shared" ref="F42" si="6">ROUND(2*E42,0)/2</f>
        <v>4429.5</v>
      </c>
      <c r="G42">
        <f>+C42-(C$7+F42*C$8)</f>
        <v>2.4164999864296988E-2</v>
      </c>
      <c r="K42">
        <f>+G42</f>
        <v>2.4164999864296988E-2</v>
      </c>
      <c r="O42">
        <f ca="1">+C$11+C$12*$F42</f>
        <v>2.3101906677985042E-2</v>
      </c>
      <c r="Q42" s="2">
        <f>+C42-15018.5</f>
        <v>44323.98499999987</v>
      </c>
    </row>
    <row r="43" spans="1:17" x14ac:dyDescent="0.2">
      <c r="C43" s="12"/>
      <c r="D43" s="12"/>
    </row>
    <row r="44" spans="1:17" x14ac:dyDescent="0.2">
      <c r="C44" s="12"/>
      <c r="D44" s="12"/>
    </row>
    <row r="45" spans="1:17" x14ac:dyDescent="0.2">
      <c r="C45" s="12"/>
      <c r="D45" s="12"/>
    </row>
    <row r="46" spans="1:17" x14ac:dyDescent="0.2">
      <c r="C46" s="12"/>
      <c r="D46" s="12"/>
    </row>
    <row r="47" spans="1:17" x14ac:dyDescent="0.2">
      <c r="C47" s="12"/>
      <c r="D47" s="12"/>
    </row>
    <row r="48" spans="1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topLeftCell="A3" workbookViewId="0">
      <selection activeCell="A18" sqref="A18:C28"/>
    </sheetView>
  </sheetViews>
  <sheetFormatPr defaultRowHeight="12.75" x14ac:dyDescent="0.2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6" t="s">
        <v>45</v>
      </c>
      <c r="I1" s="37" t="s">
        <v>46</v>
      </c>
      <c r="J1" s="38" t="s">
        <v>47</v>
      </c>
    </row>
    <row r="2" spans="1:16" x14ac:dyDescent="0.2">
      <c r="I2" s="39" t="s">
        <v>32</v>
      </c>
      <c r="J2" s="40" t="s">
        <v>48</v>
      </c>
    </row>
    <row r="3" spans="1:16" x14ac:dyDescent="0.2">
      <c r="A3" s="41" t="s">
        <v>49</v>
      </c>
      <c r="I3" s="39" t="s">
        <v>50</v>
      </c>
      <c r="J3" s="40" t="s">
        <v>51</v>
      </c>
    </row>
    <row r="4" spans="1:16" x14ac:dyDescent="0.2">
      <c r="I4" s="39" t="s">
        <v>52</v>
      </c>
      <c r="J4" s="40" t="s">
        <v>51</v>
      </c>
    </row>
    <row r="5" spans="1:16" ht="13.5" thickBot="1" x14ac:dyDescent="0.25">
      <c r="I5" s="42" t="s">
        <v>53</v>
      </c>
      <c r="J5" s="43" t="s">
        <v>54</v>
      </c>
    </row>
    <row r="10" spans="1:16" ht="13.5" thickBot="1" x14ac:dyDescent="0.25"/>
    <row r="11" spans="1:16" ht="12.75" customHeight="1" thickBot="1" x14ac:dyDescent="0.25">
      <c r="A11" s="12" t="str">
        <f t="shared" ref="A11:A28" si="0">P11</f>
        <v>IBVS 4272 </v>
      </c>
      <c r="B11" s="19" t="str">
        <f t="shared" ref="B11:B28" si="1">IF(H11=INT(H11),"I","II")</f>
        <v>II</v>
      </c>
      <c r="C11" s="12">
        <f t="shared" ref="C11:C28" si="2">1*G11</f>
        <v>47239.605100000001</v>
      </c>
      <c r="D11" s="16" t="str">
        <f t="shared" ref="D11:D28" si="3">VLOOKUP(F11,I$1:J$5,2,FALSE)</f>
        <v>vis</v>
      </c>
      <c r="E11" s="44">
        <f>VLOOKUP(C11,Active!C$21:E$968,3,FALSE)</f>
        <v>0</v>
      </c>
      <c r="F11" s="19" t="s">
        <v>53</v>
      </c>
      <c r="G11" s="16" t="str">
        <f t="shared" ref="G11:G28" si="4">MID(I11,3,LEN(I11)-3)</f>
        <v>47239.6051</v>
      </c>
      <c r="H11" s="12">
        <f t="shared" ref="H11:H28" si="5">1*K11</f>
        <v>-1925.5</v>
      </c>
      <c r="I11" s="45" t="s">
        <v>55</v>
      </c>
      <c r="J11" s="46" t="s">
        <v>56</v>
      </c>
      <c r="K11" s="45">
        <v>-1925.5</v>
      </c>
      <c r="L11" s="45" t="s">
        <v>57</v>
      </c>
      <c r="M11" s="46" t="s">
        <v>58</v>
      </c>
      <c r="N11" s="46" t="s">
        <v>59</v>
      </c>
      <c r="O11" s="47" t="s">
        <v>60</v>
      </c>
      <c r="P11" s="48" t="s">
        <v>61</v>
      </c>
    </row>
    <row r="12" spans="1:16" ht="12.75" customHeight="1" thickBot="1" x14ac:dyDescent="0.25">
      <c r="A12" s="12" t="str">
        <f t="shared" si="0"/>
        <v>IBVS 5843 </v>
      </c>
      <c r="B12" s="19" t="str">
        <f t="shared" si="1"/>
        <v>I</v>
      </c>
      <c r="C12" s="12">
        <f t="shared" si="2"/>
        <v>53470.696600000003</v>
      </c>
      <c r="D12" s="16" t="str">
        <f t="shared" si="3"/>
        <v>vis</v>
      </c>
      <c r="E12" s="44">
        <f>VLOOKUP(C12,Active!C$21:E$968,3,FALSE)</f>
        <v>2280.5047340548185</v>
      </c>
      <c r="F12" s="19" t="s">
        <v>53</v>
      </c>
      <c r="G12" s="16" t="str">
        <f t="shared" si="4"/>
        <v>53470.6966</v>
      </c>
      <c r="H12" s="12">
        <f t="shared" si="5"/>
        <v>355</v>
      </c>
      <c r="I12" s="45" t="s">
        <v>71</v>
      </c>
      <c r="J12" s="46" t="s">
        <v>72</v>
      </c>
      <c r="K12" s="45">
        <v>355</v>
      </c>
      <c r="L12" s="45" t="s">
        <v>70</v>
      </c>
      <c r="M12" s="46" t="s">
        <v>73</v>
      </c>
      <c r="N12" s="46" t="s">
        <v>74</v>
      </c>
      <c r="O12" s="47" t="s">
        <v>75</v>
      </c>
      <c r="P12" s="48" t="s">
        <v>76</v>
      </c>
    </row>
    <row r="13" spans="1:16" ht="12.75" customHeight="1" thickBot="1" x14ac:dyDescent="0.25">
      <c r="A13" s="12" t="str">
        <f t="shared" si="0"/>
        <v>IBVS 5843 </v>
      </c>
      <c r="B13" s="19" t="str">
        <f t="shared" si="1"/>
        <v>I</v>
      </c>
      <c r="C13" s="12">
        <f t="shared" si="2"/>
        <v>53492.554499999998</v>
      </c>
      <c r="D13" s="16" t="str">
        <f t="shared" si="3"/>
        <v>vis</v>
      </c>
      <c r="E13" s="44">
        <f>VLOOKUP(C13,Active!C$21:E$968,3,FALSE)</f>
        <v>2288.5044632236945</v>
      </c>
      <c r="F13" s="19" t="s">
        <v>53</v>
      </c>
      <c r="G13" s="16" t="str">
        <f t="shared" si="4"/>
        <v>53492.5545</v>
      </c>
      <c r="H13" s="12">
        <f t="shared" si="5"/>
        <v>363</v>
      </c>
      <c r="I13" s="45" t="s">
        <v>77</v>
      </c>
      <c r="J13" s="46" t="s">
        <v>78</v>
      </c>
      <c r="K13" s="45" t="s">
        <v>79</v>
      </c>
      <c r="L13" s="45" t="s">
        <v>80</v>
      </c>
      <c r="M13" s="46" t="s">
        <v>73</v>
      </c>
      <c r="N13" s="46" t="s">
        <v>74</v>
      </c>
      <c r="O13" s="47" t="s">
        <v>75</v>
      </c>
      <c r="P13" s="48" t="s">
        <v>76</v>
      </c>
    </row>
    <row r="14" spans="1:16" ht="12.75" customHeight="1" thickBot="1" x14ac:dyDescent="0.25">
      <c r="A14" s="12" t="str">
        <f t="shared" si="0"/>
        <v>IBVS 6014 </v>
      </c>
      <c r="B14" s="19" t="str">
        <f t="shared" si="1"/>
        <v>I</v>
      </c>
      <c r="C14" s="12">
        <f t="shared" si="2"/>
        <v>55623.776700000002</v>
      </c>
      <c r="D14" s="16" t="str">
        <f t="shared" si="3"/>
        <v>vis</v>
      </c>
      <c r="E14" s="44">
        <f>VLOOKUP(C14,Active!C$21:E$968,3,FALSE)</f>
        <v>3068.5062199661097</v>
      </c>
      <c r="F14" s="19" t="s">
        <v>53</v>
      </c>
      <c r="G14" s="16" t="str">
        <f t="shared" si="4"/>
        <v>55623.7767</v>
      </c>
      <c r="H14" s="12">
        <f t="shared" si="5"/>
        <v>1143</v>
      </c>
      <c r="I14" s="45" t="s">
        <v>116</v>
      </c>
      <c r="J14" s="46" t="s">
        <v>117</v>
      </c>
      <c r="K14" s="45" t="s">
        <v>118</v>
      </c>
      <c r="L14" s="45" t="s">
        <v>119</v>
      </c>
      <c r="M14" s="46" t="s">
        <v>73</v>
      </c>
      <c r="N14" s="46" t="s">
        <v>53</v>
      </c>
      <c r="O14" s="47" t="s">
        <v>91</v>
      </c>
      <c r="P14" s="48" t="s">
        <v>120</v>
      </c>
    </row>
    <row r="15" spans="1:16" ht="12.75" customHeight="1" thickBot="1" x14ac:dyDescent="0.25">
      <c r="A15" s="12" t="str">
        <f t="shared" si="0"/>
        <v>IBVS 6014 </v>
      </c>
      <c r="B15" s="19" t="str">
        <f t="shared" si="1"/>
        <v>I</v>
      </c>
      <c r="C15" s="12">
        <f t="shared" si="2"/>
        <v>55716.679900000003</v>
      </c>
      <c r="D15" s="16" t="str">
        <f t="shared" si="3"/>
        <v>vis</v>
      </c>
      <c r="E15" s="44">
        <f>VLOOKUP(C15,Active!C$21:E$968,3,FALSE)</f>
        <v>3102.5076765983617</v>
      </c>
      <c r="F15" s="19" t="s">
        <v>53</v>
      </c>
      <c r="G15" s="16" t="str">
        <f t="shared" si="4"/>
        <v>55716.6799</v>
      </c>
      <c r="H15" s="12">
        <f t="shared" si="5"/>
        <v>1177</v>
      </c>
      <c r="I15" s="45" t="s">
        <v>121</v>
      </c>
      <c r="J15" s="46" t="s">
        <v>122</v>
      </c>
      <c r="K15" s="45" t="s">
        <v>123</v>
      </c>
      <c r="L15" s="45" t="s">
        <v>124</v>
      </c>
      <c r="M15" s="46" t="s">
        <v>73</v>
      </c>
      <c r="N15" s="46" t="s">
        <v>53</v>
      </c>
      <c r="O15" s="47" t="s">
        <v>91</v>
      </c>
      <c r="P15" s="48" t="s">
        <v>120</v>
      </c>
    </row>
    <row r="16" spans="1:16" ht="12.75" customHeight="1" thickBot="1" x14ac:dyDescent="0.25">
      <c r="A16" s="12" t="str">
        <f t="shared" si="0"/>
        <v>IBVS 6114 </v>
      </c>
      <c r="B16" s="19" t="str">
        <f t="shared" si="1"/>
        <v>II</v>
      </c>
      <c r="C16" s="12">
        <f t="shared" si="2"/>
        <v>56712.611570000001</v>
      </c>
      <c r="D16" s="16" t="str">
        <f t="shared" si="3"/>
        <v>vis</v>
      </c>
      <c r="E16" s="44">
        <f>VLOOKUP(C16,Active!C$21:E$968,3,FALSE)</f>
        <v>3467.0067195397332</v>
      </c>
      <c r="F16" s="19" t="s">
        <v>53</v>
      </c>
      <c r="G16" s="16" t="str">
        <f t="shared" si="4"/>
        <v>56712.61157</v>
      </c>
      <c r="H16" s="12">
        <f t="shared" si="5"/>
        <v>1541.5</v>
      </c>
      <c r="I16" s="45" t="s">
        <v>125</v>
      </c>
      <c r="J16" s="46" t="s">
        <v>126</v>
      </c>
      <c r="K16" s="45" t="s">
        <v>127</v>
      </c>
      <c r="L16" s="45" t="s">
        <v>128</v>
      </c>
      <c r="M16" s="46" t="s">
        <v>73</v>
      </c>
      <c r="N16" s="46" t="s">
        <v>46</v>
      </c>
      <c r="O16" s="47" t="s">
        <v>129</v>
      </c>
      <c r="P16" s="48" t="s">
        <v>130</v>
      </c>
    </row>
    <row r="17" spans="1:16" ht="12.75" customHeight="1" thickBot="1" x14ac:dyDescent="0.25">
      <c r="A17" s="12" t="str">
        <f t="shared" si="0"/>
        <v>IBVS 6114 </v>
      </c>
      <c r="B17" s="19" t="str">
        <f t="shared" si="1"/>
        <v>I</v>
      </c>
      <c r="C17" s="12">
        <f t="shared" si="2"/>
        <v>56771.357689999997</v>
      </c>
      <c r="D17" s="16" t="str">
        <f t="shared" si="3"/>
        <v>vis</v>
      </c>
      <c r="E17" s="44">
        <f>VLOOKUP(C17,Active!C$21:E$968,3,FALSE)</f>
        <v>3488.5070946774349</v>
      </c>
      <c r="F17" s="19" t="s">
        <v>53</v>
      </c>
      <c r="G17" s="16" t="str">
        <f t="shared" si="4"/>
        <v>56771.35769</v>
      </c>
      <c r="H17" s="12">
        <f t="shared" si="5"/>
        <v>1563</v>
      </c>
      <c r="I17" s="45" t="s">
        <v>131</v>
      </c>
      <c r="J17" s="46" t="s">
        <v>132</v>
      </c>
      <c r="K17" s="45" t="s">
        <v>133</v>
      </c>
      <c r="L17" s="45" t="s">
        <v>134</v>
      </c>
      <c r="M17" s="46" t="s">
        <v>73</v>
      </c>
      <c r="N17" s="46" t="s">
        <v>46</v>
      </c>
      <c r="O17" s="47" t="s">
        <v>129</v>
      </c>
      <c r="P17" s="48" t="s">
        <v>130</v>
      </c>
    </row>
    <row r="18" spans="1:16" ht="12.75" customHeight="1" thickBot="1" x14ac:dyDescent="0.25">
      <c r="A18" s="12" t="str">
        <f t="shared" si="0"/>
        <v>IBVS 4272 </v>
      </c>
      <c r="B18" s="19" t="str">
        <f t="shared" si="1"/>
        <v>II</v>
      </c>
      <c r="C18" s="12">
        <f t="shared" si="2"/>
        <v>47627.600700000003</v>
      </c>
      <c r="D18" s="16" t="str">
        <f t="shared" si="3"/>
        <v>vis</v>
      </c>
      <c r="E18" s="44" t="e">
        <f>VLOOKUP(C18,Active!C$21:E$968,3,FALSE)</f>
        <v>#N/A</v>
      </c>
      <c r="F18" s="19" t="s">
        <v>53</v>
      </c>
      <c r="G18" s="16" t="str">
        <f t="shared" si="4"/>
        <v>47627.6007</v>
      </c>
      <c r="H18" s="12">
        <f t="shared" si="5"/>
        <v>-1783.5</v>
      </c>
      <c r="I18" s="45" t="s">
        <v>62</v>
      </c>
      <c r="J18" s="46" t="s">
        <v>63</v>
      </c>
      <c r="K18" s="45">
        <v>-1783.5</v>
      </c>
      <c r="L18" s="45" t="s">
        <v>64</v>
      </c>
      <c r="M18" s="46" t="s">
        <v>58</v>
      </c>
      <c r="N18" s="46" t="s">
        <v>59</v>
      </c>
      <c r="O18" s="47" t="s">
        <v>60</v>
      </c>
      <c r="P18" s="48" t="s">
        <v>61</v>
      </c>
    </row>
    <row r="19" spans="1:16" ht="12.75" customHeight="1" thickBot="1" x14ac:dyDescent="0.25">
      <c r="A19" s="12" t="str">
        <f t="shared" si="0"/>
        <v>IBVS 4272 </v>
      </c>
      <c r="B19" s="19" t="str">
        <f t="shared" si="1"/>
        <v>II</v>
      </c>
      <c r="C19" s="12">
        <f t="shared" si="2"/>
        <v>49813.470399999998</v>
      </c>
      <c r="D19" s="16" t="str">
        <f t="shared" si="3"/>
        <v>vis</v>
      </c>
      <c r="E19" s="44" t="e">
        <f>VLOOKUP(C19,Active!C$21:E$968,3,FALSE)</f>
        <v>#N/A</v>
      </c>
      <c r="F19" s="19" t="s">
        <v>53</v>
      </c>
      <c r="G19" s="16" t="str">
        <f t="shared" si="4"/>
        <v>49813.4704</v>
      </c>
      <c r="H19" s="12">
        <f t="shared" si="5"/>
        <v>-983.5</v>
      </c>
      <c r="I19" s="45" t="s">
        <v>65</v>
      </c>
      <c r="J19" s="46" t="s">
        <v>66</v>
      </c>
      <c r="K19" s="45">
        <v>-983.5</v>
      </c>
      <c r="L19" s="45" t="s">
        <v>67</v>
      </c>
      <c r="M19" s="46" t="s">
        <v>58</v>
      </c>
      <c r="N19" s="46" t="s">
        <v>59</v>
      </c>
      <c r="O19" s="47" t="s">
        <v>60</v>
      </c>
      <c r="P19" s="48" t="s">
        <v>61</v>
      </c>
    </row>
    <row r="20" spans="1:16" ht="12.75" customHeight="1" thickBot="1" x14ac:dyDescent="0.25">
      <c r="A20" s="12" t="str">
        <f t="shared" si="0"/>
        <v>IBVS 4272 </v>
      </c>
      <c r="B20" s="19" t="str">
        <f t="shared" si="1"/>
        <v>I</v>
      </c>
      <c r="C20" s="12">
        <f t="shared" si="2"/>
        <v>49817.566200000001</v>
      </c>
      <c r="D20" s="16" t="str">
        <f t="shared" si="3"/>
        <v>vis</v>
      </c>
      <c r="E20" s="44" t="e">
        <f>VLOOKUP(C20,Active!C$21:E$968,3,FALSE)</f>
        <v>#N/A</v>
      </c>
      <c r="F20" s="19" t="s">
        <v>53</v>
      </c>
      <c r="G20" s="16" t="str">
        <f t="shared" si="4"/>
        <v>49817.5662</v>
      </c>
      <c r="H20" s="12">
        <f t="shared" si="5"/>
        <v>-982</v>
      </c>
      <c r="I20" s="45" t="s">
        <v>68</v>
      </c>
      <c r="J20" s="46" t="s">
        <v>69</v>
      </c>
      <c r="K20" s="45">
        <v>-982</v>
      </c>
      <c r="L20" s="45" t="s">
        <v>70</v>
      </c>
      <c r="M20" s="46" t="s">
        <v>58</v>
      </c>
      <c r="N20" s="46" t="s">
        <v>59</v>
      </c>
      <c r="O20" s="47" t="s">
        <v>60</v>
      </c>
      <c r="P20" s="48" t="s">
        <v>61</v>
      </c>
    </row>
    <row r="21" spans="1:16" ht="12.75" customHeight="1" thickBot="1" x14ac:dyDescent="0.25">
      <c r="A21" s="12" t="str">
        <f t="shared" si="0"/>
        <v>VSB 46 </v>
      </c>
      <c r="B21" s="19" t="str">
        <f t="shared" si="1"/>
        <v>I</v>
      </c>
      <c r="C21" s="12">
        <f t="shared" si="2"/>
        <v>54159.252699999997</v>
      </c>
      <c r="D21" s="16" t="str">
        <f t="shared" si="3"/>
        <v>vis</v>
      </c>
      <c r="E21" s="44">
        <f>VLOOKUP(C21,Active!C$21:E$968,3,FALSE)</f>
        <v>2532.5080059875622</v>
      </c>
      <c r="F21" s="19" t="s">
        <v>53</v>
      </c>
      <c r="G21" s="16" t="str">
        <f t="shared" si="4"/>
        <v>54159.2527</v>
      </c>
      <c r="H21" s="12">
        <f t="shared" si="5"/>
        <v>607</v>
      </c>
      <c r="I21" s="45" t="s">
        <v>81</v>
      </c>
      <c r="J21" s="46" t="s">
        <v>82</v>
      </c>
      <c r="K21" s="45" t="s">
        <v>83</v>
      </c>
      <c r="L21" s="45" t="s">
        <v>84</v>
      </c>
      <c r="M21" s="46" t="s">
        <v>73</v>
      </c>
      <c r="N21" s="46" t="s">
        <v>85</v>
      </c>
      <c r="O21" s="47" t="s">
        <v>86</v>
      </c>
      <c r="P21" s="48" t="s">
        <v>87</v>
      </c>
    </row>
    <row r="22" spans="1:16" ht="12.75" customHeight="1" thickBot="1" x14ac:dyDescent="0.25">
      <c r="A22" s="12" t="str">
        <f t="shared" si="0"/>
        <v>IBVS 5972 </v>
      </c>
      <c r="B22" s="19" t="str">
        <f t="shared" si="1"/>
        <v>II</v>
      </c>
      <c r="C22" s="12">
        <f t="shared" si="2"/>
        <v>55280.866999999998</v>
      </c>
      <c r="D22" s="16" t="str">
        <f t="shared" si="3"/>
        <v>vis</v>
      </c>
      <c r="E22" s="44">
        <f>VLOOKUP(C22,Active!C$21:E$968,3,FALSE)</f>
        <v>2943.0053836835218</v>
      </c>
      <c r="F22" s="19" t="s">
        <v>53</v>
      </c>
      <c r="G22" s="16" t="str">
        <f t="shared" si="4"/>
        <v>55280.8670</v>
      </c>
      <c r="H22" s="12">
        <f t="shared" si="5"/>
        <v>1017.5</v>
      </c>
      <c r="I22" s="45" t="s">
        <v>88</v>
      </c>
      <c r="J22" s="46" t="s">
        <v>89</v>
      </c>
      <c r="K22" s="45" t="s">
        <v>90</v>
      </c>
      <c r="L22" s="45" t="s">
        <v>80</v>
      </c>
      <c r="M22" s="46" t="s">
        <v>73</v>
      </c>
      <c r="N22" s="46" t="s">
        <v>53</v>
      </c>
      <c r="O22" s="47" t="s">
        <v>91</v>
      </c>
      <c r="P22" s="48" t="s">
        <v>92</v>
      </c>
    </row>
    <row r="23" spans="1:16" ht="12.75" customHeight="1" thickBot="1" x14ac:dyDescent="0.25">
      <c r="A23" s="12" t="str">
        <f t="shared" si="0"/>
        <v>IBVS 5972 </v>
      </c>
      <c r="B23" s="19" t="str">
        <f t="shared" si="1"/>
        <v>I</v>
      </c>
      <c r="C23" s="12">
        <f t="shared" si="2"/>
        <v>55295.8986</v>
      </c>
      <c r="D23" s="16" t="str">
        <f t="shared" si="3"/>
        <v>vis</v>
      </c>
      <c r="E23" s="44">
        <f>VLOOKUP(C23,Active!C$21:E$968,3,FALSE)</f>
        <v>2948.5067689481139</v>
      </c>
      <c r="F23" s="19" t="s">
        <v>53</v>
      </c>
      <c r="G23" s="16" t="str">
        <f t="shared" si="4"/>
        <v>55295.8986</v>
      </c>
      <c r="H23" s="12">
        <f t="shared" si="5"/>
        <v>1023</v>
      </c>
      <c r="I23" s="45" t="s">
        <v>93</v>
      </c>
      <c r="J23" s="46" t="s">
        <v>94</v>
      </c>
      <c r="K23" s="45" t="s">
        <v>95</v>
      </c>
      <c r="L23" s="45" t="s">
        <v>96</v>
      </c>
      <c r="M23" s="46" t="s">
        <v>73</v>
      </c>
      <c r="N23" s="46" t="s">
        <v>53</v>
      </c>
      <c r="O23" s="47" t="s">
        <v>91</v>
      </c>
      <c r="P23" s="48" t="s">
        <v>92</v>
      </c>
    </row>
    <row r="24" spans="1:16" ht="12.75" customHeight="1" thickBot="1" x14ac:dyDescent="0.25">
      <c r="A24" s="12" t="str">
        <f t="shared" si="0"/>
        <v>IBVS 5972 </v>
      </c>
      <c r="B24" s="19" t="str">
        <f t="shared" si="1"/>
        <v>I</v>
      </c>
      <c r="C24" s="12">
        <f t="shared" si="2"/>
        <v>55306.825700000001</v>
      </c>
      <c r="D24" s="16" t="str">
        <f t="shared" si="3"/>
        <v>vis</v>
      </c>
      <c r="E24" s="44">
        <f>VLOOKUP(C24,Active!C$21:E$968,3,FALSE)</f>
        <v>2952.5059564547473</v>
      </c>
      <c r="F24" s="19" t="s">
        <v>53</v>
      </c>
      <c r="G24" s="16" t="str">
        <f t="shared" si="4"/>
        <v>55306.8257</v>
      </c>
      <c r="H24" s="12">
        <f t="shared" si="5"/>
        <v>1027</v>
      </c>
      <c r="I24" s="45" t="s">
        <v>97</v>
      </c>
      <c r="J24" s="46" t="s">
        <v>98</v>
      </c>
      <c r="K24" s="45" t="s">
        <v>99</v>
      </c>
      <c r="L24" s="45" t="s">
        <v>100</v>
      </c>
      <c r="M24" s="46" t="s">
        <v>73</v>
      </c>
      <c r="N24" s="46" t="s">
        <v>53</v>
      </c>
      <c r="O24" s="47" t="s">
        <v>91</v>
      </c>
      <c r="P24" s="48" t="s">
        <v>92</v>
      </c>
    </row>
    <row r="25" spans="1:16" ht="12.75" customHeight="1" thickBot="1" x14ac:dyDescent="0.25">
      <c r="A25" s="12" t="str">
        <f t="shared" si="0"/>
        <v>IBVS 5972 </v>
      </c>
      <c r="B25" s="19" t="str">
        <f t="shared" si="1"/>
        <v>I</v>
      </c>
      <c r="C25" s="12">
        <f t="shared" si="2"/>
        <v>55317.753599999996</v>
      </c>
      <c r="D25" s="16" t="str">
        <f t="shared" si="3"/>
        <v>vis</v>
      </c>
      <c r="E25" s="44">
        <f>VLOOKUP(C25,Active!C$21:E$968,3,FALSE)</f>
        <v>2956.5054367517814</v>
      </c>
      <c r="F25" s="19" t="s">
        <v>53</v>
      </c>
      <c r="G25" s="16" t="str">
        <f t="shared" si="4"/>
        <v>55317.7536</v>
      </c>
      <c r="H25" s="12">
        <f t="shared" si="5"/>
        <v>1031</v>
      </c>
      <c r="I25" s="45" t="s">
        <v>101</v>
      </c>
      <c r="J25" s="46" t="s">
        <v>102</v>
      </c>
      <c r="K25" s="45" t="s">
        <v>103</v>
      </c>
      <c r="L25" s="45" t="s">
        <v>80</v>
      </c>
      <c r="M25" s="46" t="s">
        <v>73</v>
      </c>
      <c r="N25" s="46" t="s">
        <v>53</v>
      </c>
      <c r="O25" s="47" t="s">
        <v>91</v>
      </c>
      <c r="P25" s="48" t="s">
        <v>92</v>
      </c>
    </row>
    <row r="26" spans="1:16" ht="12.75" customHeight="1" thickBot="1" x14ac:dyDescent="0.25">
      <c r="A26" s="12" t="str">
        <f t="shared" si="0"/>
        <v>IBVS 5972 </v>
      </c>
      <c r="B26" s="19" t="str">
        <f t="shared" si="1"/>
        <v>II</v>
      </c>
      <c r="C26" s="12">
        <f t="shared" si="2"/>
        <v>55332.787700000001</v>
      </c>
      <c r="D26" s="16" t="str">
        <f t="shared" si="3"/>
        <v>vis</v>
      </c>
      <c r="E26" s="44">
        <f>VLOOKUP(C26,Active!C$21:E$968,3,FALSE)</f>
        <v>2962.0077369863816</v>
      </c>
      <c r="F26" s="19" t="s">
        <v>53</v>
      </c>
      <c r="G26" s="16" t="str">
        <f t="shared" si="4"/>
        <v>55332.7877</v>
      </c>
      <c r="H26" s="12">
        <f t="shared" si="5"/>
        <v>1036.5</v>
      </c>
      <c r="I26" s="45" t="s">
        <v>104</v>
      </c>
      <c r="J26" s="46" t="s">
        <v>105</v>
      </c>
      <c r="K26" s="45" t="s">
        <v>106</v>
      </c>
      <c r="L26" s="45" t="s">
        <v>107</v>
      </c>
      <c r="M26" s="46" t="s">
        <v>73</v>
      </c>
      <c r="N26" s="46" t="s">
        <v>53</v>
      </c>
      <c r="O26" s="47" t="s">
        <v>91</v>
      </c>
      <c r="P26" s="48" t="s">
        <v>92</v>
      </c>
    </row>
    <row r="27" spans="1:16" ht="12.75" customHeight="1" thickBot="1" x14ac:dyDescent="0.25">
      <c r="A27" s="12" t="str">
        <f t="shared" si="0"/>
        <v>IBVS 5972 </v>
      </c>
      <c r="B27" s="19" t="str">
        <f t="shared" si="1"/>
        <v>I</v>
      </c>
      <c r="C27" s="12">
        <f t="shared" si="2"/>
        <v>55369.6662</v>
      </c>
      <c r="D27" s="16" t="str">
        <f t="shared" si="3"/>
        <v>vis</v>
      </c>
      <c r="E27" s="44">
        <f>VLOOKUP(C27,Active!C$21:E$968,3,FALSE)</f>
        <v>2975.5048255518177</v>
      </c>
      <c r="F27" s="19" t="s">
        <v>53</v>
      </c>
      <c r="G27" s="16" t="str">
        <f t="shared" si="4"/>
        <v>55369.6662</v>
      </c>
      <c r="H27" s="12">
        <f t="shared" si="5"/>
        <v>1050</v>
      </c>
      <c r="I27" s="45" t="s">
        <v>108</v>
      </c>
      <c r="J27" s="46" t="s">
        <v>109</v>
      </c>
      <c r="K27" s="45" t="s">
        <v>110</v>
      </c>
      <c r="L27" s="45" t="s">
        <v>111</v>
      </c>
      <c r="M27" s="46" t="s">
        <v>73</v>
      </c>
      <c r="N27" s="46" t="s">
        <v>53</v>
      </c>
      <c r="O27" s="47" t="s">
        <v>91</v>
      </c>
      <c r="P27" s="48" t="s">
        <v>92</v>
      </c>
    </row>
    <row r="28" spans="1:16" ht="12.75" customHeight="1" thickBot="1" x14ac:dyDescent="0.25">
      <c r="A28" s="12" t="str">
        <f t="shared" si="0"/>
        <v>IBVS 5972 </v>
      </c>
      <c r="B28" s="19" t="str">
        <f t="shared" si="1"/>
        <v>I</v>
      </c>
      <c r="C28" s="12">
        <f t="shared" si="2"/>
        <v>55590.988100000002</v>
      </c>
      <c r="D28" s="16" t="str">
        <f t="shared" si="3"/>
        <v>vis</v>
      </c>
      <c r="E28" s="44">
        <f>VLOOKUP(C28,Active!C$21:E$968,3,FALSE)</f>
        <v>3056.5059857337883</v>
      </c>
      <c r="F28" s="19" t="s">
        <v>53</v>
      </c>
      <c r="G28" s="16" t="str">
        <f t="shared" si="4"/>
        <v>55590.9881</v>
      </c>
      <c r="H28" s="12">
        <f t="shared" si="5"/>
        <v>1131</v>
      </c>
      <c r="I28" s="45" t="s">
        <v>112</v>
      </c>
      <c r="J28" s="46" t="s">
        <v>113</v>
      </c>
      <c r="K28" s="45" t="s">
        <v>114</v>
      </c>
      <c r="L28" s="45" t="s">
        <v>115</v>
      </c>
      <c r="M28" s="46" t="s">
        <v>73</v>
      </c>
      <c r="N28" s="46" t="s">
        <v>53</v>
      </c>
      <c r="O28" s="47" t="s">
        <v>91</v>
      </c>
      <c r="P28" s="48" t="s">
        <v>92</v>
      </c>
    </row>
    <row r="29" spans="1:16" x14ac:dyDescent="0.2">
      <c r="B29" s="19"/>
      <c r="F29" s="19"/>
    </row>
    <row r="30" spans="1:16" x14ac:dyDescent="0.2">
      <c r="B30" s="19"/>
      <c r="F30" s="19"/>
    </row>
    <row r="31" spans="1:16" x14ac:dyDescent="0.2">
      <c r="B31" s="19"/>
      <c r="F31" s="19"/>
    </row>
    <row r="32" spans="1:16" x14ac:dyDescent="0.2">
      <c r="B32" s="19"/>
      <c r="F32" s="19"/>
    </row>
    <row r="33" spans="2:6" x14ac:dyDescent="0.2">
      <c r="B33" s="19"/>
      <c r="F33" s="19"/>
    </row>
    <row r="34" spans="2:6" x14ac:dyDescent="0.2">
      <c r="B34" s="19"/>
      <c r="F34" s="19"/>
    </row>
    <row r="35" spans="2:6" x14ac:dyDescent="0.2">
      <c r="B35" s="19"/>
      <c r="F35" s="19"/>
    </row>
    <row r="36" spans="2:6" x14ac:dyDescent="0.2">
      <c r="B36" s="19"/>
      <c r="F36" s="19"/>
    </row>
    <row r="37" spans="2:6" x14ac:dyDescent="0.2">
      <c r="B37" s="19"/>
      <c r="F37" s="19"/>
    </row>
    <row r="38" spans="2:6" x14ac:dyDescent="0.2">
      <c r="B38" s="19"/>
      <c r="F38" s="19"/>
    </row>
    <row r="39" spans="2:6" x14ac:dyDescent="0.2">
      <c r="B39" s="19"/>
      <c r="F39" s="19"/>
    </row>
    <row r="40" spans="2:6" x14ac:dyDescent="0.2">
      <c r="B40" s="19"/>
      <c r="F40" s="19"/>
    </row>
    <row r="41" spans="2:6" x14ac:dyDescent="0.2">
      <c r="B41" s="19"/>
      <c r="F41" s="19"/>
    </row>
    <row r="42" spans="2:6" x14ac:dyDescent="0.2">
      <c r="B42" s="19"/>
      <c r="F42" s="19"/>
    </row>
    <row r="43" spans="2:6" x14ac:dyDescent="0.2">
      <c r="B43" s="19"/>
      <c r="F43" s="19"/>
    </row>
    <row r="44" spans="2:6" x14ac:dyDescent="0.2">
      <c r="B44" s="19"/>
      <c r="F44" s="19"/>
    </row>
    <row r="45" spans="2:6" x14ac:dyDescent="0.2">
      <c r="B45" s="19"/>
      <c r="F45" s="19"/>
    </row>
    <row r="46" spans="2:6" x14ac:dyDescent="0.2">
      <c r="B46" s="19"/>
      <c r="F46" s="19"/>
    </row>
    <row r="47" spans="2:6" x14ac:dyDescent="0.2">
      <c r="B47" s="19"/>
      <c r="F47" s="19"/>
    </row>
    <row r="48" spans="2:6" x14ac:dyDescent="0.2">
      <c r="B48" s="19"/>
      <c r="F48" s="19"/>
    </row>
    <row r="49" spans="2:6" x14ac:dyDescent="0.2">
      <c r="B49" s="19"/>
      <c r="F49" s="19"/>
    </row>
    <row r="50" spans="2:6" x14ac:dyDescent="0.2">
      <c r="B50" s="19"/>
      <c r="F50" s="19"/>
    </row>
    <row r="51" spans="2:6" x14ac:dyDescent="0.2">
      <c r="B51" s="19"/>
      <c r="F51" s="19"/>
    </row>
    <row r="52" spans="2:6" x14ac:dyDescent="0.2">
      <c r="B52" s="19"/>
      <c r="F52" s="19"/>
    </row>
    <row r="53" spans="2:6" x14ac:dyDescent="0.2">
      <c r="B53" s="19"/>
      <c r="F53" s="19"/>
    </row>
    <row r="54" spans="2:6" x14ac:dyDescent="0.2">
      <c r="B54" s="19"/>
      <c r="F54" s="19"/>
    </row>
    <row r="55" spans="2:6" x14ac:dyDescent="0.2">
      <c r="B55" s="19"/>
      <c r="F55" s="19"/>
    </row>
    <row r="56" spans="2:6" x14ac:dyDescent="0.2">
      <c r="B56" s="19"/>
      <c r="F56" s="19"/>
    </row>
    <row r="57" spans="2:6" x14ac:dyDescent="0.2">
      <c r="B57" s="19"/>
      <c r="F57" s="19"/>
    </row>
    <row r="58" spans="2:6" x14ac:dyDescent="0.2">
      <c r="B58" s="19"/>
      <c r="F58" s="19"/>
    </row>
    <row r="59" spans="2:6" x14ac:dyDescent="0.2">
      <c r="B59" s="19"/>
      <c r="F59" s="19"/>
    </row>
    <row r="60" spans="2:6" x14ac:dyDescent="0.2">
      <c r="B60" s="19"/>
      <c r="F60" s="19"/>
    </row>
    <row r="61" spans="2:6" x14ac:dyDescent="0.2">
      <c r="B61" s="19"/>
      <c r="F61" s="19"/>
    </row>
    <row r="62" spans="2:6" x14ac:dyDescent="0.2">
      <c r="B62" s="19"/>
      <c r="F62" s="19"/>
    </row>
    <row r="63" spans="2:6" x14ac:dyDescent="0.2">
      <c r="B63" s="19"/>
      <c r="F63" s="19"/>
    </row>
    <row r="64" spans="2: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  <row r="791" spans="2:6" x14ac:dyDescent="0.2">
      <c r="B791" s="19"/>
      <c r="F791" s="19"/>
    </row>
    <row r="792" spans="2:6" x14ac:dyDescent="0.2">
      <c r="B792" s="19"/>
      <c r="F792" s="19"/>
    </row>
    <row r="793" spans="2:6" x14ac:dyDescent="0.2">
      <c r="B793" s="19"/>
      <c r="F793" s="19"/>
    </row>
  </sheetData>
  <phoneticPr fontId="7" type="noConversion"/>
  <hyperlinks>
    <hyperlink ref="P11" r:id="rId1" display="http://www.konkoly.hu/cgi-bin/IBVS?4272"/>
    <hyperlink ref="P18" r:id="rId2" display="http://www.konkoly.hu/cgi-bin/IBVS?4272"/>
    <hyperlink ref="P19" r:id="rId3" display="http://www.konkoly.hu/cgi-bin/IBVS?4272"/>
    <hyperlink ref="P20" r:id="rId4" display="http://www.konkoly.hu/cgi-bin/IBVS?4272"/>
    <hyperlink ref="P12" r:id="rId5" display="http://www.konkoly.hu/cgi-bin/IBVS?5843"/>
    <hyperlink ref="P13" r:id="rId6" display="http://www.konkoly.hu/cgi-bin/IBVS?5843"/>
    <hyperlink ref="P21" r:id="rId7" display="http://vsolj.cetus-net.org/no46.pdf"/>
    <hyperlink ref="P22" r:id="rId8" display="http://www.konkoly.hu/cgi-bin/IBVS?5972"/>
    <hyperlink ref="P23" r:id="rId9" display="http://www.konkoly.hu/cgi-bin/IBVS?5972"/>
    <hyperlink ref="P24" r:id="rId10" display="http://www.konkoly.hu/cgi-bin/IBVS?5972"/>
    <hyperlink ref="P25" r:id="rId11" display="http://www.konkoly.hu/cgi-bin/IBVS?5972"/>
    <hyperlink ref="P26" r:id="rId12" display="http://www.konkoly.hu/cgi-bin/IBVS?5972"/>
    <hyperlink ref="P27" r:id="rId13" display="http://www.konkoly.hu/cgi-bin/IBVS?5972"/>
    <hyperlink ref="P28" r:id="rId14" display="http://www.konkoly.hu/cgi-bin/IBVS?5972"/>
    <hyperlink ref="P14" r:id="rId15" display="http://www.konkoly.hu/cgi-bin/IBVS?6014"/>
    <hyperlink ref="P15" r:id="rId16" display="http://www.konkoly.hu/cgi-bin/IBVS?6014"/>
    <hyperlink ref="P16" r:id="rId17" display="http://www.konkoly.hu/cgi-bin/IBVS?6114"/>
    <hyperlink ref="P17" r:id="rId18" display="http://www.konkoly.hu/cgi-bin/IBVS?611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2023-01-25T23:48:27Z</dcterms:modified>
</cp:coreProperties>
</file>