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61DAC514-FA23-4BC7-AC44-E42ABCA702AA}" xr6:coauthVersionLast="47" xr6:coauthVersionMax="47" xr10:uidLastSave="{00000000-0000-0000-0000-000000000000}"/>
  <bookViews>
    <workbookView xWindow="13800" yWindow="1230" windowWidth="13230" windowHeight="14265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79" i="1" l="1"/>
  <c r="F79" i="1" s="1"/>
  <c r="G79" i="1" s="1"/>
  <c r="K79" i="1" s="1"/>
  <c r="Q79" i="1"/>
  <c r="E80" i="1"/>
  <c r="F80" i="1" s="1"/>
  <c r="G80" i="1" s="1"/>
  <c r="K80" i="1" s="1"/>
  <c r="Q80" i="1"/>
  <c r="E78" i="1"/>
  <c r="F78" i="1"/>
  <c r="G78" i="1" s="1"/>
  <c r="K78" i="1" s="1"/>
  <c r="Q78" i="1"/>
  <c r="C9" i="1"/>
  <c r="D9" i="1"/>
  <c r="F16" i="1"/>
  <c r="F17" i="1" s="1"/>
  <c r="C17" i="1"/>
  <c r="E21" i="1"/>
  <c r="F21" i="1" s="1"/>
  <c r="G21" i="1" s="1"/>
  <c r="K21" i="1" s="1"/>
  <c r="Q21" i="1"/>
  <c r="E22" i="1"/>
  <c r="F22" i="1"/>
  <c r="G22" i="1"/>
  <c r="K22" i="1"/>
  <c r="Q22" i="1"/>
  <c r="E23" i="1"/>
  <c r="F23" i="1" s="1"/>
  <c r="G23" i="1" s="1"/>
  <c r="K23" i="1" s="1"/>
  <c r="Q23" i="1"/>
  <c r="E24" i="1"/>
  <c r="E26" i="2" s="1"/>
  <c r="F24" i="1"/>
  <c r="G24" i="1" s="1"/>
  <c r="K24" i="1" s="1"/>
  <c r="Q24" i="1"/>
  <c r="E25" i="1"/>
  <c r="F25" i="1"/>
  <c r="G25" i="1"/>
  <c r="K25" i="1"/>
  <c r="Q25" i="1"/>
  <c r="E26" i="1"/>
  <c r="F26" i="1" s="1"/>
  <c r="G26" i="1" s="1"/>
  <c r="K26" i="1" s="1"/>
  <c r="Q26" i="1"/>
  <c r="E27" i="1"/>
  <c r="F27" i="1"/>
  <c r="G27" i="1"/>
  <c r="K27" i="1" s="1"/>
  <c r="Q27" i="1"/>
  <c r="E28" i="1"/>
  <c r="F28" i="1"/>
  <c r="G28" i="1"/>
  <c r="K28" i="1"/>
  <c r="Q28" i="1"/>
  <c r="E29" i="1"/>
  <c r="F29" i="1" s="1"/>
  <c r="G29" i="1" s="1"/>
  <c r="K29" i="1" s="1"/>
  <c r="Q29" i="1"/>
  <c r="E30" i="1"/>
  <c r="F30" i="1"/>
  <c r="G30" i="1"/>
  <c r="K30" i="1"/>
  <c r="Q30" i="1"/>
  <c r="E31" i="1"/>
  <c r="F31" i="1"/>
  <c r="G31" i="1"/>
  <c r="K31" i="1"/>
  <c r="Q31" i="1"/>
  <c r="E32" i="1"/>
  <c r="F32" i="1"/>
  <c r="G32" i="1" s="1"/>
  <c r="J32" i="1" s="1"/>
  <c r="Q32" i="1"/>
  <c r="E33" i="1"/>
  <c r="F33" i="1"/>
  <c r="G33" i="1"/>
  <c r="K33" i="1"/>
  <c r="Q33" i="1"/>
  <c r="E34" i="1"/>
  <c r="F34" i="1" s="1"/>
  <c r="G34" i="1" s="1"/>
  <c r="K34" i="1" s="1"/>
  <c r="Q34" i="1"/>
  <c r="E35" i="1"/>
  <c r="F35" i="1"/>
  <c r="G35" i="1"/>
  <c r="K35" i="1" s="1"/>
  <c r="Q35" i="1"/>
  <c r="E36" i="1"/>
  <c r="F36" i="1"/>
  <c r="G36" i="1"/>
  <c r="K36" i="1"/>
  <c r="Q36" i="1"/>
  <c r="E37" i="1"/>
  <c r="F37" i="1" s="1"/>
  <c r="G37" i="1" s="1"/>
  <c r="K37" i="1" s="1"/>
  <c r="Q37" i="1"/>
  <c r="E38" i="1"/>
  <c r="F38" i="1"/>
  <c r="G38" i="1"/>
  <c r="K38" i="1"/>
  <c r="Q38" i="1"/>
  <c r="E39" i="1"/>
  <c r="F39" i="1"/>
  <c r="G39" i="1"/>
  <c r="K39" i="1"/>
  <c r="Q39" i="1"/>
  <c r="E40" i="1"/>
  <c r="E13" i="2" s="1"/>
  <c r="F40" i="1"/>
  <c r="G40" i="1" s="1"/>
  <c r="K40" i="1" s="1"/>
  <c r="Q40" i="1"/>
  <c r="E41" i="1"/>
  <c r="F41" i="1"/>
  <c r="G41" i="1"/>
  <c r="K41" i="1"/>
  <c r="Q41" i="1"/>
  <c r="E42" i="1"/>
  <c r="F42" i="1" s="1"/>
  <c r="G42" i="1" s="1"/>
  <c r="K42" i="1" s="1"/>
  <c r="Q42" i="1"/>
  <c r="E43" i="1"/>
  <c r="F43" i="1"/>
  <c r="G43" i="1"/>
  <c r="K43" i="1" s="1"/>
  <c r="Q43" i="1"/>
  <c r="E44" i="1"/>
  <c r="F44" i="1"/>
  <c r="G44" i="1"/>
  <c r="K44" i="1"/>
  <c r="Q44" i="1"/>
  <c r="E45" i="1"/>
  <c r="F45" i="1" s="1"/>
  <c r="G45" i="1" s="1"/>
  <c r="K45" i="1" s="1"/>
  <c r="Q45" i="1"/>
  <c r="E46" i="1"/>
  <c r="F46" i="1"/>
  <c r="G46" i="1"/>
  <c r="K46" i="1"/>
  <c r="Q46" i="1"/>
  <c r="E47" i="1"/>
  <c r="F47" i="1"/>
  <c r="G47" i="1"/>
  <c r="K47" i="1"/>
  <c r="Q47" i="1"/>
  <c r="E48" i="1"/>
  <c r="F48" i="1"/>
  <c r="G48" i="1" s="1"/>
  <c r="K48" i="1" s="1"/>
  <c r="Q48" i="1"/>
  <c r="E49" i="1"/>
  <c r="F49" i="1"/>
  <c r="G49" i="1"/>
  <c r="K49" i="1"/>
  <c r="Q49" i="1"/>
  <c r="E50" i="1"/>
  <c r="F50" i="1" s="1"/>
  <c r="G50" i="1" s="1"/>
  <c r="K50" i="1" s="1"/>
  <c r="Q50" i="1"/>
  <c r="E51" i="1"/>
  <c r="F51" i="1"/>
  <c r="G51" i="1"/>
  <c r="K51" i="1" s="1"/>
  <c r="Q51" i="1"/>
  <c r="E52" i="1"/>
  <c r="F52" i="1"/>
  <c r="G52" i="1"/>
  <c r="K52" i="1"/>
  <c r="Q52" i="1"/>
  <c r="E53" i="1"/>
  <c r="F53" i="1" s="1"/>
  <c r="G53" i="1" s="1"/>
  <c r="K53" i="1" s="1"/>
  <c r="Q53" i="1"/>
  <c r="E54" i="1"/>
  <c r="F54" i="1"/>
  <c r="G54" i="1"/>
  <c r="K54" i="1"/>
  <c r="Q54" i="1"/>
  <c r="E55" i="1"/>
  <c r="F55" i="1"/>
  <c r="Q55" i="1"/>
  <c r="E56" i="1"/>
  <c r="F56" i="1"/>
  <c r="G56" i="1"/>
  <c r="I56" i="1"/>
  <c r="Q56" i="1"/>
  <c r="E57" i="1"/>
  <c r="F57" i="1"/>
  <c r="G57" i="1"/>
  <c r="K57" i="1"/>
  <c r="Q57" i="1"/>
  <c r="E58" i="1"/>
  <c r="E21" i="2" s="1"/>
  <c r="F58" i="1"/>
  <c r="G58" i="1" s="1"/>
  <c r="K58" i="1" s="1"/>
  <c r="Q58" i="1"/>
  <c r="E59" i="1"/>
  <c r="F59" i="1"/>
  <c r="G59" i="1"/>
  <c r="K59" i="1"/>
  <c r="Q59" i="1"/>
  <c r="E60" i="1"/>
  <c r="F60" i="1" s="1"/>
  <c r="G60" i="1" s="1"/>
  <c r="K60" i="1" s="1"/>
  <c r="Q60" i="1"/>
  <c r="E61" i="1"/>
  <c r="F61" i="1"/>
  <c r="G61" i="1"/>
  <c r="K61" i="1" s="1"/>
  <c r="Q61" i="1"/>
  <c r="E62" i="1"/>
  <c r="F62" i="1"/>
  <c r="G62" i="1"/>
  <c r="K62" i="1"/>
  <c r="Q62" i="1"/>
  <c r="E63" i="1"/>
  <c r="F63" i="1" s="1"/>
  <c r="G63" i="1" s="1"/>
  <c r="K63" i="1" s="1"/>
  <c r="Q63" i="1"/>
  <c r="E64" i="1"/>
  <c r="F64" i="1"/>
  <c r="G64" i="1"/>
  <c r="K64" i="1"/>
  <c r="Q64" i="1"/>
  <c r="E65" i="1"/>
  <c r="F65" i="1"/>
  <c r="G65" i="1"/>
  <c r="I65" i="1"/>
  <c r="Q65" i="1"/>
  <c r="E66" i="1"/>
  <c r="F66" i="1"/>
  <c r="G66" i="1" s="1"/>
  <c r="K66" i="1" s="1"/>
  <c r="Q66" i="1"/>
  <c r="E67" i="1"/>
  <c r="F67" i="1"/>
  <c r="G67" i="1" s="1"/>
  <c r="K67" i="1" s="1"/>
  <c r="Q67" i="1"/>
  <c r="E68" i="1"/>
  <c r="F68" i="1" s="1"/>
  <c r="G68" i="1" s="1"/>
  <c r="K68" i="1" s="1"/>
  <c r="Q68" i="1"/>
  <c r="E69" i="1"/>
  <c r="F69" i="1"/>
  <c r="G69" i="1"/>
  <c r="K69" i="1" s="1"/>
  <c r="Q69" i="1"/>
  <c r="E70" i="1"/>
  <c r="F70" i="1"/>
  <c r="G70" i="1"/>
  <c r="K70" i="1" s="1"/>
  <c r="Q70" i="1"/>
  <c r="E71" i="1"/>
  <c r="F71" i="1" s="1"/>
  <c r="G71" i="1" s="1"/>
  <c r="K71" i="1" s="1"/>
  <c r="Q71" i="1"/>
  <c r="E72" i="1"/>
  <c r="F72" i="1" s="1"/>
  <c r="G72" i="1" s="1"/>
  <c r="K72" i="1" s="1"/>
  <c r="Q72" i="1"/>
  <c r="E73" i="1"/>
  <c r="F73" i="1"/>
  <c r="G73" i="1"/>
  <c r="K73" i="1"/>
  <c r="Q73" i="1"/>
  <c r="E74" i="1"/>
  <c r="F74" i="1"/>
  <c r="G74" i="1" s="1"/>
  <c r="K74" i="1" s="1"/>
  <c r="Q74" i="1"/>
  <c r="E75" i="1"/>
  <c r="F75" i="1"/>
  <c r="G75" i="1" s="1"/>
  <c r="K75" i="1" s="1"/>
  <c r="Q75" i="1"/>
  <c r="E76" i="1"/>
  <c r="F76" i="1" s="1"/>
  <c r="G76" i="1" s="1"/>
  <c r="K76" i="1" s="1"/>
  <c r="Q76" i="1"/>
  <c r="E77" i="1"/>
  <c r="F77" i="1"/>
  <c r="G77" i="1"/>
  <c r="K77" i="1" s="1"/>
  <c r="Q77" i="1"/>
  <c r="A11" i="2"/>
  <c r="D11" i="2"/>
  <c r="G11" i="2"/>
  <c r="C11" i="2"/>
  <c r="E11" i="2"/>
  <c r="H11" i="2"/>
  <c r="B11" i="2"/>
  <c r="A12" i="2"/>
  <c r="D12" i="2"/>
  <c r="G12" i="2"/>
  <c r="C12" i="2"/>
  <c r="E12" i="2"/>
  <c r="H12" i="2"/>
  <c r="B12" i="2"/>
  <c r="A13" i="2"/>
  <c r="D13" i="2"/>
  <c r="G13" i="2"/>
  <c r="C13" i="2"/>
  <c r="H13" i="2"/>
  <c r="B13" i="2"/>
  <c r="A14" i="2"/>
  <c r="B14" i="2"/>
  <c r="D14" i="2"/>
  <c r="G14" i="2"/>
  <c r="C14" i="2"/>
  <c r="E14" i="2"/>
  <c r="H14" i="2"/>
  <c r="A15" i="2"/>
  <c r="B15" i="2"/>
  <c r="C15" i="2"/>
  <c r="E15" i="2"/>
  <c r="D15" i="2"/>
  <c r="G15" i="2"/>
  <c r="H15" i="2"/>
  <c r="A16" i="2"/>
  <c r="C16" i="2"/>
  <c r="E16" i="2"/>
  <c r="D16" i="2"/>
  <c r="G16" i="2"/>
  <c r="H16" i="2"/>
  <c r="B16" i="2"/>
  <c r="A17" i="2"/>
  <c r="B17" i="2"/>
  <c r="D17" i="2"/>
  <c r="G17" i="2"/>
  <c r="C17" i="2"/>
  <c r="E17" i="2"/>
  <c r="H17" i="2"/>
  <c r="A18" i="2"/>
  <c r="B18" i="2"/>
  <c r="D18" i="2"/>
  <c r="G18" i="2"/>
  <c r="C18" i="2"/>
  <c r="H18" i="2"/>
  <c r="A19" i="2"/>
  <c r="D19" i="2"/>
  <c r="G19" i="2"/>
  <c r="C19" i="2"/>
  <c r="E19" i="2"/>
  <c r="H19" i="2"/>
  <c r="B19" i="2"/>
  <c r="A20" i="2"/>
  <c r="D20" i="2"/>
  <c r="G20" i="2"/>
  <c r="C20" i="2"/>
  <c r="E20" i="2"/>
  <c r="H20" i="2"/>
  <c r="B20" i="2"/>
  <c r="A21" i="2"/>
  <c r="D21" i="2"/>
  <c r="G21" i="2"/>
  <c r="C21" i="2"/>
  <c r="H21" i="2"/>
  <c r="B21" i="2"/>
  <c r="A22" i="2"/>
  <c r="B22" i="2"/>
  <c r="D22" i="2"/>
  <c r="G22" i="2"/>
  <c r="C22" i="2"/>
  <c r="E22" i="2"/>
  <c r="H22" i="2"/>
  <c r="A23" i="2"/>
  <c r="B23" i="2"/>
  <c r="C23" i="2"/>
  <c r="D23" i="2"/>
  <c r="G23" i="2"/>
  <c r="H23" i="2"/>
  <c r="A24" i="2"/>
  <c r="C24" i="2"/>
  <c r="E24" i="2"/>
  <c r="D24" i="2"/>
  <c r="G24" i="2"/>
  <c r="H24" i="2"/>
  <c r="B24" i="2"/>
  <c r="A25" i="2"/>
  <c r="B25" i="2"/>
  <c r="D25" i="2"/>
  <c r="G25" i="2"/>
  <c r="C25" i="2"/>
  <c r="E25" i="2"/>
  <c r="H25" i="2"/>
  <c r="A26" i="2"/>
  <c r="B26" i="2"/>
  <c r="D26" i="2"/>
  <c r="G26" i="2"/>
  <c r="C26" i="2"/>
  <c r="H26" i="2"/>
  <c r="A27" i="2"/>
  <c r="D27" i="2"/>
  <c r="G27" i="2"/>
  <c r="C27" i="2"/>
  <c r="E27" i="2"/>
  <c r="H27" i="2"/>
  <c r="B27" i="2"/>
  <c r="A28" i="2"/>
  <c r="D28" i="2"/>
  <c r="G28" i="2"/>
  <c r="C28" i="2"/>
  <c r="E28" i="2"/>
  <c r="H28" i="2"/>
  <c r="B28" i="2"/>
  <c r="A29" i="2"/>
  <c r="D29" i="2"/>
  <c r="G29" i="2"/>
  <c r="C29" i="2"/>
  <c r="E29" i="2"/>
  <c r="H29" i="2"/>
  <c r="B29" i="2"/>
  <c r="A30" i="2"/>
  <c r="B30" i="2"/>
  <c r="D30" i="2"/>
  <c r="G30" i="2"/>
  <c r="C30" i="2"/>
  <c r="E30" i="2"/>
  <c r="H30" i="2"/>
  <c r="A31" i="2"/>
  <c r="B31" i="2"/>
  <c r="C31" i="2"/>
  <c r="D31" i="2"/>
  <c r="G31" i="2"/>
  <c r="H31" i="2"/>
  <c r="A32" i="2"/>
  <c r="C32" i="2"/>
  <c r="E32" i="2"/>
  <c r="D32" i="2"/>
  <c r="G32" i="2"/>
  <c r="H32" i="2"/>
  <c r="B32" i="2"/>
  <c r="A33" i="2"/>
  <c r="B33" i="2"/>
  <c r="D33" i="2"/>
  <c r="G33" i="2"/>
  <c r="C33" i="2"/>
  <c r="E33" i="2"/>
  <c r="H33" i="2"/>
  <c r="A34" i="2"/>
  <c r="B34" i="2"/>
  <c r="D34" i="2"/>
  <c r="G34" i="2"/>
  <c r="C34" i="2"/>
  <c r="E34" i="2"/>
  <c r="H34" i="2"/>
  <c r="A35" i="2"/>
  <c r="D35" i="2"/>
  <c r="G35" i="2"/>
  <c r="C35" i="2"/>
  <c r="E35" i="2"/>
  <c r="H35" i="2"/>
  <c r="B35" i="2"/>
  <c r="A36" i="2"/>
  <c r="D36" i="2"/>
  <c r="G36" i="2"/>
  <c r="C36" i="2"/>
  <c r="E36" i="2"/>
  <c r="H36" i="2"/>
  <c r="B36" i="2"/>
  <c r="A37" i="2"/>
  <c r="D37" i="2"/>
  <c r="G37" i="2"/>
  <c r="C37" i="2"/>
  <c r="H37" i="2"/>
  <c r="B37" i="2"/>
  <c r="C11" i="1"/>
  <c r="C12" i="1"/>
  <c r="E37" i="2" l="1"/>
  <c r="E31" i="2"/>
  <c r="E23" i="2"/>
  <c r="E18" i="2"/>
  <c r="O80" i="1"/>
  <c r="O79" i="1"/>
  <c r="C16" i="1"/>
  <c r="D18" i="1" s="1"/>
  <c r="O60" i="1"/>
  <c r="O32" i="1"/>
  <c r="O63" i="1"/>
  <c r="O44" i="1"/>
  <c r="O64" i="1"/>
  <c r="O55" i="1"/>
  <c r="O52" i="1"/>
  <c r="O48" i="1"/>
  <c r="O40" i="1"/>
  <c r="O36" i="1"/>
  <c r="O67" i="1"/>
  <c r="O31" i="1"/>
  <c r="O78" i="1"/>
  <c r="O62" i="1"/>
  <c r="O27" i="1"/>
  <c r="O75" i="1"/>
  <c r="O71" i="1"/>
  <c r="O43" i="1"/>
  <c r="O35" i="1"/>
  <c r="O66" i="1"/>
  <c r="O38" i="1"/>
  <c r="O23" i="1"/>
  <c r="O51" i="1"/>
  <c r="O47" i="1"/>
  <c r="O26" i="1"/>
  <c r="O39" i="1"/>
  <c r="O70" i="1"/>
  <c r="O42" i="1"/>
  <c r="O58" i="1"/>
  <c r="O59" i="1"/>
  <c r="O25" i="1"/>
  <c r="O24" i="1"/>
  <c r="O68" i="1"/>
  <c r="O34" i="1"/>
  <c r="O30" i="1"/>
  <c r="O61" i="1"/>
  <c r="O22" i="1"/>
  <c r="O74" i="1"/>
  <c r="O46" i="1"/>
  <c r="O73" i="1"/>
  <c r="O56" i="1"/>
  <c r="O76" i="1"/>
  <c r="O69" i="1"/>
  <c r="O65" i="1"/>
  <c r="O49" i="1"/>
  <c r="O57" i="1"/>
  <c r="O54" i="1"/>
  <c r="O50" i="1"/>
  <c r="O77" i="1"/>
  <c r="O28" i="1"/>
  <c r="O72" i="1"/>
  <c r="O53" i="1"/>
  <c r="O29" i="1"/>
  <c r="C15" i="1"/>
  <c r="O21" i="1"/>
  <c r="O45" i="1"/>
  <c r="O41" i="1"/>
  <c r="O37" i="1"/>
  <c r="O33" i="1"/>
  <c r="F18" i="1" l="1"/>
  <c r="F19" i="1" s="1"/>
  <c r="C18" i="1"/>
</calcChain>
</file>

<file path=xl/sharedStrings.xml><?xml version="1.0" encoding="utf-8"?>
<sst xmlns="http://schemas.openxmlformats.org/spreadsheetml/2006/main" count="405" uniqueCount="187">
  <si>
    <t>NN Vir / GSC 00323-00930</t>
  </si>
  <si>
    <t>System Type:</t>
  </si>
  <si>
    <t>EW</t>
  </si>
  <si>
    <t>also  SAO 120401 / HD 125488</t>
  </si>
  <si>
    <t>GCVS 4</t>
  </si>
  <si>
    <t>not avail.</t>
  </si>
  <si>
    <t>My time zone &gt;&gt;&gt;&gt;&gt;</t>
  </si>
  <si>
    <t>(PST=8, PDT=MDT=7, MDT=CST=6, etc.)</t>
  </si>
  <si>
    <t>--- Working ----</t>
  </si>
  <si>
    <t>Epoch =</t>
  </si>
  <si>
    <t>IBVS 4469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</si>
  <si>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</si>
  <si>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</si>
  <si>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</si>
  <si>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</si>
  <si>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</si>
  <si>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</si>
  <si>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</si>
  <si>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</si>
  <si>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</si>
  <si>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</si>
  <si>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</si>
  <si>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</si>
  <si>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</si>
  <si>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</si>
  <si>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</si>
  <si>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</si>
  <si>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</si>
  <si>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</si>
  <si>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</si>
  <si>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</si>
  <si>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</si>
  <si>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</si>
  <si>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</si>
  <si>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</si>
  <si>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</si>
  <si>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</si>
  <si>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</si>
  <si>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</si>
  <si>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S4</t>
  </si>
  <si>
    <t>S5</t>
  </si>
  <si>
    <t>Misc</t>
  </si>
  <si>
    <t>Lin Fit</t>
  </si>
  <si>
    <t>Q. Fit</t>
  </si>
  <si>
    <t>Date</t>
  </si>
  <si>
    <t>BAD?</t>
  </si>
  <si>
    <t> AAS 296,265ff </t>
  </si>
  <si>
    <t>II</t>
  </si>
  <si>
    <t>I</t>
  </si>
  <si>
    <t>Hipparcos</t>
  </si>
  <si>
    <t>IBVS 5592</t>
  </si>
  <si>
    <t>IBVS 5677</t>
  </si>
  <si>
    <t>IBVS 5300</t>
  </si>
  <si>
    <t>IBVS 6218</t>
  </si>
  <si>
    <t>VSB 46 </t>
  </si>
  <si>
    <t>IBVS 5917</t>
  </si>
  <si>
    <t>IBVS 5938</t>
  </si>
  <si>
    <t>OEJV 116</t>
  </si>
  <si>
    <t>VSB 51 </t>
  </si>
  <si>
    <t>IBVS 6149</t>
  </si>
  <si>
    <t>VSB-059</t>
  </si>
  <si>
    <t>B</t>
  </si>
  <si>
    <t>VSB 59 </t>
  </si>
  <si>
    <t>V</t>
  </si>
  <si>
    <t>Ic</t>
  </si>
  <si>
    <t>OEJV 0172</t>
  </si>
  <si>
    <t>IBVS 6196</t>
  </si>
  <si>
    <t>JAVSO..44…69</t>
  </si>
  <si>
    <t>JAVSO..45..121</t>
  </si>
  <si>
    <t>IBVS 6209</t>
  </si>
  <si>
    <t>VSB-066</t>
  </si>
  <si>
    <t>JAVSO..47..105</t>
  </si>
  <si>
    <t>OEJV 0203</t>
  </si>
  <si>
    <t>JAVSO..46..184</t>
  </si>
  <si>
    <t>JAVSO..47..263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</si>
  <si>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</si>
  <si>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</si>
  <si>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</si>
  <si>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</si>
  <si>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</si>
  <si>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</si>
  <si>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2452405.3689 </t>
  </si>
  <si>
    <t> 10.05.2002 20:51 </t>
  </si>
  <si>
    <t> 0.0004 </t>
  </si>
  <si>
    <t>E </t>
  </si>
  <si>
    <t>?</t>
  </si>
  <si>
    <t> Tanriverdi&amp;Sezgin </t>
  </si>
  <si>
    <t>IBVS 5300 </t>
  </si>
  <si>
    <t>2452424.3554 </t>
  </si>
  <si>
    <t> 29.05.2002 20:31 </t>
  </si>
  <si>
    <t> -0.0002 </t>
  </si>
  <si>
    <t> Tanriverdi&amp;Bulca </t>
  </si>
  <si>
    <t>2452450.3149 </t>
  </si>
  <si>
    <t> 24.06.2002 19:33 </t>
  </si>
  <si>
    <t> 0.0021 </t>
  </si>
  <si>
    <t>2452461.3667 </t>
  </si>
  <si>
    <t> 05.07.2002 20:48 </t>
  </si>
  <si>
    <t> -0.0019 </t>
  </si>
  <si>
    <t> Sezgin&amp;Karakas </t>
  </si>
  <si>
    <t>2452462.3300 </t>
  </si>
  <si>
    <t> 06.07.2002 19:55 </t>
  </si>
  <si>
    <t> 0.0000 </t>
  </si>
  <si>
    <t> Cetintas&amp;Aksu </t>
  </si>
  <si>
    <t>2453130.2446 </t>
  </si>
  <si>
    <t> 04.05.2004 17:52 </t>
  </si>
  <si>
    <t> -0.0009 </t>
  </si>
  <si>
    <t> T.Krajci </t>
  </si>
  <si>
    <t>IBVS 5592 </t>
  </si>
  <si>
    <t>2453458.7954 </t>
  </si>
  <si>
    <t> 29.03.2005 07:05 </t>
  </si>
  <si>
    <t> S.Dvorak </t>
  </si>
  <si>
    <t>IBVS 5677 </t>
  </si>
  <si>
    <t>2454159.636 </t>
  </si>
  <si>
    <t> 28.02.2007 03:15 </t>
  </si>
  <si>
    <t> -0.002 </t>
  </si>
  <si>
    <t>C </t>
  </si>
  <si>
    <t>ns</t>
  </si>
  <si>
    <t> G.Marino et al. </t>
  </si>
  <si>
    <t>IBVS 5917 </t>
  </si>
  <si>
    <t>2454926.821 </t>
  </si>
  <si>
    <t> 05.04.2009 07:42 </t>
  </si>
  <si>
    <t> 0.005 </t>
  </si>
  <si>
    <t>IBVS 5938 </t>
  </si>
  <si>
    <t>2455000.359 </t>
  </si>
  <si>
    <t> 17.06.2009 20:36 </t>
  </si>
  <si>
    <t>o</t>
  </si>
  <si>
    <t> A.Paschke </t>
  </si>
  <si>
    <t>OEJV 0116 </t>
  </si>
  <si>
    <t>2456782.511 </t>
  </si>
  <si>
    <t> 05.05.2014 00:15 </t>
  </si>
  <si>
    <t> 0.000 </t>
  </si>
  <si>
    <t>-I</t>
  </si>
  <si>
    <t> F.Agerer </t>
  </si>
  <si>
    <t>BAVM 238 </t>
  </si>
  <si>
    <t>2457033.669 </t>
  </si>
  <si>
    <t> 11.01.2015 04:03 </t>
  </si>
  <si>
    <t>9431</t>
  </si>
  <si>
    <t> -0.001 </t>
  </si>
  <si>
    <t>OEJV 0172 </t>
  </si>
  <si>
    <t>2452725.5075 </t>
  </si>
  <si>
    <t> 27.03.2003 00:10 </t>
  </si>
  <si>
    <t> 0.0010 </t>
  </si>
  <si>
    <t> Gazeas &amp; Niarchos </t>
  </si>
  <si>
    <t>2452727.4294 </t>
  </si>
  <si>
    <t> 28.03.2003 22:18 </t>
  </si>
  <si>
    <t> 0.0002 </t>
  </si>
  <si>
    <t>2452732.4766 </t>
  </si>
  <si>
    <t> 02.04.2003 23:26 </t>
  </si>
  <si>
    <t> 0.0001 </t>
  </si>
  <si>
    <t>2452738.4843 </t>
  </si>
  <si>
    <t> 08.04.2003 23:37 </t>
  </si>
  <si>
    <t> -0.0008 </t>
  </si>
  <si>
    <t>2452739.4465 </t>
  </si>
  <si>
    <t> 09.04.2003 22:42 </t>
  </si>
  <si>
    <t>2452767.3272 </t>
  </si>
  <si>
    <t> 07.05.2003 19:51 </t>
  </si>
  <si>
    <t> 0.0009 </t>
  </si>
  <si>
    <t>2452793.2847 </t>
  </si>
  <si>
    <t> 02.06.2003 18:49 </t>
  </si>
  <si>
    <t> 0.0012 </t>
  </si>
  <si>
    <t>2452793.5231 </t>
  </si>
  <si>
    <t> 03.06.2003 00:33 </t>
  </si>
  <si>
    <t> -0.0007 </t>
  </si>
  <si>
    <t>2452795.4456 </t>
  </si>
  <si>
    <t> 04.06.2003 22:41 </t>
  </si>
  <si>
    <t>2454136.3239 </t>
  </si>
  <si>
    <t> 04.02.2007 19:46 </t>
  </si>
  <si>
    <t> -0.0010 </t>
  </si>
  <si>
    <t> K.Nakajima </t>
  </si>
  <si>
    <t>2454223.0901 </t>
  </si>
  <si>
    <t> 02.05.2007 14:09 </t>
  </si>
  <si>
    <t> 0.0011 </t>
  </si>
  <si>
    <t> K.Nagai </t>
  </si>
  <si>
    <t>2455332.9959 </t>
  </si>
  <si>
    <t> 16.05.2010 11:54 </t>
  </si>
  <si>
    <t>Rc</t>
  </si>
  <si>
    <t>2456787.0743 </t>
  </si>
  <si>
    <t> 09.05.2014 13:46 </t>
  </si>
  <si>
    <t>8918</t>
  </si>
  <si>
    <t> -0.0029 </t>
  </si>
  <si>
    <t>2456787.0752 </t>
  </si>
  <si>
    <t> 09.05.2014 13:48 </t>
  </si>
  <si>
    <t> -0.0020 </t>
  </si>
  <si>
    <t>2456787.0762 </t>
  </si>
  <si>
    <t> 09.05.2014 13:49 </t>
  </si>
  <si>
    <t>JAVSO 49, 108</t>
  </si>
  <si>
    <t>JBAV,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</si>
</sst>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\$#,##0_);&quot;($&quot;#,##0\)"/>
    <numFmt numFmtId="165" formatCode="m/d/yyyy\ h:mm"/>
    <numFmt numFmtId="167" formatCode="0.0000"/>
    <numFmt numFmtId="168" formatCode="0.000"/>
    <numFmt numFmtId="170" formatCode="d/mm/yyyy;@"/>
    <numFmt numFmtId="171" formatCode="0.00000"/>
  </numFmts>
  <fonts count="19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  <font>
      <i/>
      <sz val="10"/>
      <color indexed="8"/>
      <name val="Arial"/>
      <family val="2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4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  <xf numFmtId="0" fontId="17" fillId="0" borderId="0"/>
    <xf numFmtId="0" fontId="17" fillId="0" borderId="0"/>
  </cellStyleXfs>
  <cellXfs count="72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0" fillId="0" borderId="2" xfId="0" applyFont="1" applyBorder="1" applyAlignment="1"/>
    <xf numFmtId="0" fontId="0" fillId="0" borderId="3" xfId="0" applyFont="1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 applyAlignment="1"/>
    <xf numFmtId="0" fontId="5" fillId="0" borderId="0" xfId="0" applyFont="1" applyAlignment="1"/>
    <xf numFmtId="0" fontId="8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0" fillId="0" borderId="4" xfId="0" applyFont="1" applyBorder="1" applyAlignment="1">
      <alignment horizontal="center"/>
    </xf>
    <xf numFmtId="0" fontId="9" fillId="0" borderId="0" xfId="0" applyFont="1">
      <alignment vertical="top"/>
    </xf>
    <xf numFmtId="0" fontId="0" fillId="0" borderId="0" xfId="0" applyAlignment="1">
      <alignment horizontal="center"/>
    </xf>
    <xf numFmtId="0" fontId="7" fillId="0" borderId="0" xfId="0" applyFont="1">
      <alignment vertical="top"/>
    </xf>
    <xf numFmtId="0" fontId="9" fillId="0" borderId="0" xfId="0" applyFont="1" applyAlignment="1">
      <alignment horizontal="center"/>
    </xf>
    <xf numFmtId="0" fontId="8" fillId="0" borderId="0" xfId="0" applyFont="1">
      <alignment vertical="top"/>
    </xf>
    <xf numFmtId="0" fontId="0" fillId="0" borderId="5" xfId="0" applyBorder="1">
      <alignment vertical="top"/>
    </xf>
    <xf numFmtId="0" fontId="0" fillId="0" borderId="6" xfId="0" applyBorder="1">
      <alignment vertical="top"/>
    </xf>
    <xf numFmtId="165" fontId="9" fillId="0" borderId="0" xfId="0" applyNumberFormat="1" applyFont="1">
      <alignment vertical="top"/>
    </xf>
    <xf numFmtId="0" fontId="7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167" fontId="0" fillId="0" borderId="0" xfId="0" applyNumberFormat="1" applyAlignment="1">
      <alignment horizontal="left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wrapText="1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6" applyFont="1" applyAlignment="1">
      <alignment wrapText="1"/>
    </xf>
    <xf numFmtId="0" fontId="3" fillId="0" borderId="0" xfId="6" applyFont="1" applyAlignment="1">
      <alignment horizontal="center" wrapText="1"/>
    </xf>
    <xf numFmtId="0" fontId="3" fillId="0" borderId="0" xfId="6" applyFont="1" applyAlignment="1">
      <alignment horizontal="left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left" vertical="top"/>
    </xf>
    <xf numFmtId="168" fontId="3" fillId="0" borderId="0" xfId="0" applyNumberFormat="1" applyFont="1" applyFill="1" applyBorder="1" applyAlignment="1" applyProtection="1">
      <alignment horizontal="left" vertical="top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12" fillId="0" borderId="0" xfId="8" applyFont="1" applyAlignment="1">
      <alignment horizontal="left"/>
    </xf>
    <xf numFmtId="0" fontId="12" fillId="0" borderId="0" xfId="8" applyFont="1" applyAlignment="1">
      <alignment horizontal="center"/>
    </xf>
    <xf numFmtId="0" fontId="13" fillId="0" borderId="0" xfId="0" applyNumberFormat="1" applyFont="1" applyFill="1" applyBorder="1" applyAlignment="1" applyProtection="1">
      <alignment horizontal="left" vertical="top"/>
    </xf>
    <xf numFmtId="0" fontId="14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7" xfId="0" applyFont="1" applyBorder="1" applyAlignment="1">
      <alignment horizontal="center"/>
    </xf>
    <xf numFmtId="0" fontId="0" fillId="0" borderId="8" xfId="0" applyFont="1" applyBorder="1">
      <alignment vertical="top"/>
    </xf>
    <xf numFmtId="0" fontId="0" fillId="0" borderId="9" xfId="0" applyFont="1" applyBorder="1" applyAlignment="1">
      <alignment horizontal="center"/>
    </xf>
    <xf numFmtId="0" fontId="0" fillId="0" borderId="10" xfId="0" applyFont="1" applyBorder="1">
      <alignment vertical="top"/>
    </xf>
    <xf numFmtId="0" fontId="16" fillId="0" borderId="0" xfId="5" applyNumberFormat="1" applyFont="1" applyFill="1" applyBorder="1" applyAlignment="1" applyProtection="1">
      <alignment horizontal="left"/>
    </xf>
    <xf numFmtId="0" fontId="0" fillId="0" borderId="11" xfId="0" applyFont="1" applyBorder="1" applyAlignment="1">
      <alignment horizontal="center"/>
    </xf>
    <xf numFmtId="0" fontId="0" fillId="0" borderId="12" xfId="0" applyFont="1" applyBorder="1">
      <alignment vertical="top"/>
    </xf>
    <xf numFmtId="0" fontId="3" fillId="2" borderId="13" xfId="0" applyFont="1" applyFill="1" applyBorder="1" applyAlignment="1">
      <alignment horizontal="left" vertical="top" wrapText="1" indent="1"/>
    </xf>
    <xf numFmtId="0" fontId="3" fillId="2" borderId="13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right" vertical="top" wrapText="1"/>
    </xf>
    <xf numFmtId="0" fontId="16" fillId="2" borderId="13" xfId="5" applyNumberFormat="1" applyFont="1" applyFill="1" applyBorder="1" applyAlignment="1" applyProtection="1">
      <alignment horizontal="right" vertical="top" wrapText="1"/>
    </xf>
    <xf numFmtId="170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71" fontId="18" fillId="0" borderId="0" xfId="0" applyNumberFormat="1" applyFont="1" applyAlignment="1">
      <alignment vertical="center" wrapText="1"/>
    </xf>
  </cellXfs>
  <cellStyles count="9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  <cellStyle name="Normal_A_A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NN Vir - O-C Diagr.</a:t>
            </a:r>
          </a:p>
        </c:rich>
      </c:tx>
      <c:layout>
        <c:manualLayout>
          <c:xMode val="edge"/>
          <c:yMode val="edge"/>
          <c:x val="0.39038189533239037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71287128712872"/>
          <c:y val="0.23584978088695488"/>
          <c:w val="0.8231966053748232"/>
          <c:h val="0.566039474128691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Active!$F$21:$F$77</c:f>
              <c:numCache>
                <c:formatCode>General</c:formatCode>
                <c:ptCount val="57"/>
                <c:pt idx="0">
                  <c:v>4576.5</c:v>
                </c:pt>
                <c:pt idx="1">
                  <c:v>4580.5</c:v>
                </c:pt>
                <c:pt idx="2">
                  <c:v>4591</c:v>
                </c:pt>
                <c:pt idx="3">
                  <c:v>4603.5</c:v>
                </c:pt>
                <c:pt idx="4">
                  <c:v>4605.5</c:v>
                </c:pt>
                <c:pt idx="5">
                  <c:v>4663.5</c:v>
                </c:pt>
                <c:pt idx="6">
                  <c:v>4717.5</c:v>
                </c:pt>
                <c:pt idx="7">
                  <c:v>4718</c:v>
                </c:pt>
                <c:pt idx="8">
                  <c:v>4722</c:v>
                </c:pt>
                <c:pt idx="9">
                  <c:v>-5452.5</c:v>
                </c:pt>
                <c:pt idx="10">
                  <c:v>-5451.5</c:v>
                </c:pt>
                <c:pt idx="11">
                  <c:v>-10.5</c:v>
                </c:pt>
                <c:pt idx="12">
                  <c:v>5418.5</c:v>
                </c:pt>
                <c:pt idx="13">
                  <c:v>6102</c:v>
                </c:pt>
                <c:pt idx="14">
                  <c:v>0</c:v>
                </c:pt>
                <c:pt idx="15">
                  <c:v>2</c:v>
                </c:pt>
                <c:pt idx="16">
                  <c:v>6</c:v>
                </c:pt>
                <c:pt idx="17">
                  <c:v>3910.5</c:v>
                </c:pt>
                <c:pt idx="18">
                  <c:v>3950</c:v>
                </c:pt>
                <c:pt idx="19">
                  <c:v>4004</c:v>
                </c:pt>
                <c:pt idx="20">
                  <c:v>4027</c:v>
                </c:pt>
                <c:pt idx="21">
                  <c:v>4029</c:v>
                </c:pt>
                <c:pt idx="22">
                  <c:v>4576.5</c:v>
                </c:pt>
                <c:pt idx="23">
                  <c:v>4580.5</c:v>
                </c:pt>
                <c:pt idx="24">
                  <c:v>4591</c:v>
                </c:pt>
                <c:pt idx="25">
                  <c:v>4603.5</c:v>
                </c:pt>
                <c:pt idx="26">
                  <c:v>4605.5</c:v>
                </c:pt>
                <c:pt idx="27">
                  <c:v>4663.5</c:v>
                </c:pt>
                <c:pt idx="28">
                  <c:v>4717.5</c:v>
                </c:pt>
                <c:pt idx="29">
                  <c:v>4718</c:v>
                </c:pt>
                <c:pt idx="30">
                  <c:v>4722</c:v>
                </c:pt>
                <c:pt idx="31">
                  <c:v>7511.5</c:v>
                </c:pt>
                <c:pt idx="32">
                  <c:v>7560</c:v>
                </c:pt>
                <c:pt idx="33">
                  <c:v>7692</c:v>
                </c:pt>
                <c:pt idx="34">
                  <c:v>9156</c:v>
                </c:pt>
                <c:pt idx="35">
                  <c:v>9309</c:v>
                </c:pt>
                <c:pt idx="36">
                  <c:v>10001</c:v>
                </c:pt>
                <c:pt idx="37">
                  <c:v>13016.5</c:v>
                </c:pt>
                <c:pt idx="38">
                  <c:v>13026</c:v>
                </c:pt>
                <c:pt idx="39">
                  <c:v>13026</c:v>
                </c:pt>
                <c:pt idx="40">
                  <c:v>13026</c:v>
                </c:pt>
                <c:pt idx="41">
                  <c:v>13026</c:v>
                </c:pt>
                <c:pt idx="42">
                  <c:v>13026</c:v>
                </c:pt>
                <c:pt idx="43">
                  <c:v>13026</c:v>
                </c:pt>
                <c:pt idx="44">
                  <c:v>13539</c:v>
                </c:pt>
                <c:pt idx="45">
                  <c:v>13746.5</c:v>
                </c:pt>
                <c:pt idx="46">
                  <c:v>13845</c:v>
                </c:pt>
                <c:pt idx="47">
                  <c:v>14546</c:v>
                </c:pt>
                <c:pt idx="48">
                  <c:v>14547.5</c:v>
                </c:pt>
                <c:pt idx="49">
                  <c:v>14643</c:v>
                </c:pt>
                <c:pt idx="50">
                  <c:v>16042.5</c:v>
                </c:pt>
                <c:pt idx="51">
                  <c:v>16042.5</c:v>
                </c:pt>
                <c:pt idx="52">
                  <c:v>16042.5</c:v>
                </c:pt>
                <c:pt idx="53">
                  <c:v>16073</c:v>
                </c:pt>
                <c:pt idx="54">
                  <c:v>16020.5</c:v>
                </c:pt>
                <c:pt idx="55">
                  <c:v>15295</c:v>
                </c:pt>
                <c:pt idx="56">
                  <c:v>16926</c:v>
                </c:pt>
              </c:numCache>
            </c:numRef>
          </c:xVal>
          <c:yVal>
            <c:numRef>
              <c:f>Active!$H$21:$H$77</c:f>
              <c:numCache>
                <c:formatCode>General</c:formatCode>
                <c:ptCount val="5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8F-4C93-AF6C-019EBE2B30B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Active!$F$21:$F$77</c:f>
              <c:numCache>
                <c:formatCode>General</c:formatCode>
                <c:ptCount val="57"/>
                <c:pt idx="0">
                  <c:v>4576.5</c:v>
                </c:pt>
                <c:pt idx="1">
                  <c:v>4580.5</c:v>
                </c:pt>
                <c:pt idx="2">
                  <c:v>4591</c:v>
                </c:pt>
                <c:pt idx="3">
                  <c:v>4603.5</c:v>
                </c:pt>
                <c:pt idx="4">
                  <c:v>4605.5</c:v>
                </c:pt>
                <c:pt idx="5">
                  <c:v>4663.5</c:v>
                </c:pt>
                <c:pt idx="6">
                  <c:v>4717.5</c:v>
                </c:pt>
                <c:pt idx="7">
                  <c:v>4718</c:v>
                </c:pt>
                <c:pt idx="8">
                  <c:v>4722</c:v>
                </c:pt>
                <c:pt idx="9">
                  <c:v>-5452.5</c:v>
                </c:pt>
                <c:pt idx="10">
                  <c:v>-5451.5</c:v>
                </c:pt>
                <c:pt idx="11">
                  <c:v>-10.5</c:v>
                </c:pt>
                <c:pt idx="12">
                  <c:v>5418.5</c:v>
                </c:pt>
                <c:pt idx="13">
                  <c:v>6102</c:v>
                </c:pt>
                <c:pt idx="14">
                  <c:v>0</c:v>
                </c:pt>
                <c:pt idx="15">
                  <c:v>2</c:v>
                </c:pt>
                <c:pt idx="16">
                  <c:v>6</c:v>
                </c:pt>
                <c:pt idx="17">
                  <c:v>3910.5</c:v>
                </c:pt>
                <c:pt idx="18">
                  <c:v>3950</c:v>
                </c:pt>
                <c:pt idx="19">
                  <c:v>4004</c:v>
                </c:pt>
                <c:pt idx="20">
                  <c:v>4027</c:v>
                </c:pt>
                <c:pt idx="21">
                  <c:v>4029</c:v>
                </c:pt>
                <c:pt idx="22">
                  <c:v>4576.5</c:v>
                </c:pt>
                <c:pt idx="23">
                  <c:v>4580.5</c:v>
                </c:pt>
                <c:pt idx="24">
                  <c:v>4591</c:v>
                </c:pt>
                <c:pt idx="25">
                  <c:v>4603.5</c:v>
                </c:pt>
                <c:pt idx="26">
                  <c:v>4605.5</c:v>
                </c:pt>
                <c:pt idx="27">
                  <c:v>4663.5</c:v>
                </c:pt>
                <c:pt idx="28">
                  <c:v>4717.5</c:v>
                </c:pt>
                <c:pt idx="29">
                  <c:v>4718</c:v>
                </c:pt>
                <c:pt idx="30">
                  <c:v>4722</c:v>
                </c:pt>
                <c:pt idx="31">
                  <c:v>7511.5</c:v>
                </c:pt>
                <c:pt idx="32">
                  <c:v>7560</c:v>
                </c:pt>
                <c:pt idx="33">
                  <c:v>7692</c:v>
                </c:pt>
                <c:pt idx="34">
                  <c:v>9156</c:v>
                </c:pt>
                <c:pt idx="35">
                  <c:v>9309</c:v>
                </c:pt>
                <c:pt idx="36">
                  <c:v>10001</c:v>
                </c:pt>
                <c:pt idx="37">
                  <c:v>13016.5</c:v>
                </c:pt>
                <c:pt idx="38">
                  <c:v>13026</c:v>
                </c:pt>
                <c:pt idx="39">
                  <c:v>13026</c:v>
                </c:pt>
                <c:pt idx="40">
                  <c:v>13026</c:v>
                </c:pt>
                <c:pt idx="41">
                  <c:v>13026</c:v>
                </c:pt>
                <c:pt idx="42">
                  <c:v>13026</c:v>
                </c:pt>
                <c:pt idx="43">
                  <c:v>13026</c:v>
                </c:pt>
                <c:pt idx="44">
                  <c:v>13539</c:v>
                </c:pt>
                <c:pt idx="45">
                  <c:v>13746.5</c:v>
                </c:pt>
                <c:pt idx="46">
                  <c:v>13845</c:v>
                </c:pt>
                <c:pt idx="47">
                  <c:v>14546</c:v>
                </c:pt>
                <c:pt idx="48">
                  <c:v>14547.5</c:v>
                </c:pt>
                <c:pt idx="49">
                  <c:v>14643</c:v>
                </c:pt>
                <c:pt idx="50">
                  <c:v>16042.5</c:v>
                </c:pt>
                <c:pt idx="51">
                  <c:v>16042.5</c:v>
                </c:pt>
                <c:pt idx="52">
                  <c:v>16042.5</c:v>
                </c:pt>
                <c:pt idx="53">
                  <c:v>16073</c:v>
                </c:pt>
                <c:pt idx="54">
                  <c:v>16020.5</c:v>
                </c:pt>
                <c:pt idx="55">
                  <c:v>15295</c:v>
                </c:pt>
                <c:pt idx="56">
                  <c:v>16926</c:v>
                </c:pt>
              </c:numCache>
            </c:numRef>
          </c:xVal>
          <c:yVal>
            <c:numRef>
              <c:f>Active!$I$21:$I$77</c:f>
              <c:numCache>
                <c:formatCode>General</c:formatCode>
                <c:ptCount val="57"/>
                <c:pt idx="35">
                  <c:v>-2.7610000004642643E-2</c:v>
                </c:pt>
                <c:pt idx="44">
                  <c:v>-3.6310000003140885E-2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88F-4C93-AF6C-019EBE2B30BF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Active!$F$21:$F$77</c:f>
              <c:numCache>
                <c:formatCode>General</c:formatCode>
                <c:ptCount val="57"/>
                <c:pt idx="0">
                  <c:v>4576.5</c:v>
                </c:pt>
                <c:pt idx="1">
                  <c:v>4580.5</c:v>
                </c:pt>
                <c:pt idx="2">
                  <c:v>4591</c:v>
                </c:pt>
                <c:pt idx="3">
                  <c:v>4603.5</c:v>
                </c:pt>
                <c:pt idx="4">
                  <c:v>4605.5</c:v>
                </c:pt>
                <c:pt idx="5">
                  <c:v>4663.5</c:v>
                </c:pt>
                <c:pt idx="6">
                  <c:v>4717.5</c:v>
                </c:pt>
                <c:pt idx="7">
                  <c:v>4718</c:v>
                </c:pt>
                <c:pt idx="8">
                  <c:v>4722</c:v>
                </c:pt>
                <c:pt idx="9">
                  <c:v>-5452.5</c:v>
                </c:pt>
                <c:pt idx="10">
                  <c:v>-5451.5</c:v>
                </c:pt>
                <c:pt idx="11">
                  <c:v>-10.5</c:v>
                </c:pt>
                <c:pt idx="12">
                  <c:v>5418.5</c:v>
                </c:pt>
                <c:pt idx="13">
                  <c:v>6102</c:v>
                </c:pt>
                <c:pt idx="14">
                  <c:v>0</c:v>
                </c:pt>
                <c:pt idx="15">
                  <c:v>2</c:v>
                </c:pt>
                <c:pt idx="16">
                  <c:v>6</c:v>
                </c:pt>
                <c:pt idx="17">
                  <c:v>3910.5</c:v>
                </c:pt>
                <c:pt idx="18">
                  <c:v>3950</c:v>
                </c:pt>
                <c:pt idx="19">
                  <c:v>4004</c:v>
                </c:pt>
                <c:pt idx="20">
                  <c:v>4027</c:v>
                </c:pt>
                <c:pt idx="21">
                  <c:v>4029</c:v>
                </c:pt>
                <c:pt idx="22">
                  <c:v>4576.5</c:v>
                </c:pt>
                <c:pt idx="23">
                  <c:v>4580.5</c:v>
                </c:pt>
                <c:pt idx="24">
                  <c:v>4591</c:v>
                </c:pt>
                <c:pt idx="25">
                  <c:v>4603.5</c:v>
                </c:pt>
                <c:pt idx="26">
                  <c:v>4605.5</c:v>
                </c:pt>
                <c:pt idx="27">
                  <c:v>4663.5</c:v>
                </c:pt>
                <c:pt idx="28">
                  <c:v>4717.5</c:v>
                </c:pt>
                <c:pt idx="29">
                  <c:v>4718</c:v>
                </c:pt>
                <c:pt idx="30">
                  <c:v>4722</c:v>
                </c:pt>
                <c:pt idx="31">
                  <c:v>7511.5</c:v>
                </c:pt>
                <c:pt idx="32">
                  <c:v>7560</c:v>
                </c:pt>
                <c:pt idx="33">
                  <c:v>7692</c:v>
                </c:pt>
                <c:pt idx="34">
                  <c:v>9156</c:v>
                </c:pt>
                <c:pt idx="35">
                  <c:v>9309</c:v>
                </c:pt>
                <c:pt idx="36">
                  <c:v>10001</c:v>
                </c:pt>
                <c:pt idx="37">
                  <c:v>13016.5</c:v>
                </c:pt>
                <c:pt idx="38">
                  <c:v>13026</c:v>
                </c:pt>
                <c:pt idx="39">
                  <c:v>13026</c:v>
                </c:pt>
                <c:pt idx="40">
                  <c:v>13026</c:v>
                </c:pt>
                <c:pt idx="41">
                  <c:v>13026</c:v>
                </c:pt>
                <c:pt idx="42">
                  <c:v>13026</c:v>
                </c:pt>
                <c:pt idx="43">
                  <c:v>13026</c:v>
                </c:pt>
                <c:pt idx="44">
                  <c:v>13539</c:v>
                </c:pt>
                <c:pt idx="45">
                  <c:v>13746.5</c:v>
                </c:pt>
                <c:pt idx="46">
                  <c:v>13845</c:v>
                </c:pt>
                <c:pt idx="47">
                  <c:v>14546</c:v>
                </c:pt>
                <c:pt idx="48">
                  <c:v>14547.5</c:v>
                </c:pt>
                <c:pt idx="49">
                  <c:v>14643</c:v>
                </c:pt>
                <c:pt idx="50">
                  <c:v>16042.5</c:v>
                </c:pt>
                <c:pt idx="51">
                  <c:v>16042.5</c:v>
                </c:pt>
                <c:pt idx="52">
                  <c:v>16042.5</c:v>
                </c:pt>
                <c:pt idx="53">
                  <c:v>16073</c:v>
                </c:pt>
                <c:pt idx="54">
                  <c:v>16020.5</c:v>
                </c:pt>
                <c:pt idx="55">
                  <c:v>15295</c:v>
                </c:pt>
                <c:pt idx="56">
                  <c:v>16926</c:v>
                </c:pt>
              </c:numCache>
            </c:numRef>
          </c:xVal>
          <c:yVal>
            <c:numRef>
              <c:f>Active!$J$21:$J$77</c:f>
              <c:numCache>
                <c:formatCode>General</c:formatCode>
                <c:ptCount val="57"/>
                <c:pt idx="11">
                  <c:v>-5.4999800340738147E-5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88F-4C93-AF6C-019EBE2B30BF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Active!$F$21:$F$77</c:f>
              <c:numCache>
                <c:formatCode>General</c:formatCode>
                <c:ptCount val="57"/>
                <c:pt idx="0">
                  <c:v>4576.5</c:v>
                </c:pt>
                <c:pt idx="1">
                  <c:v>4580.5</c:v>
                </c:pt>
                <c:pt idx="2">
                  <c:v>4591</c:v>
                </c:pt>
                <c:pt idx="3">
                  <c:v>4603.5</c:v>
                </c:pt>
                <c:pt idx="4">
                  <c:v>4605.5</c:v>
                </c:pt>
                <c:pt idx="5">
                  <c:v>4663.5</c:v>
                </c:pt>
                <c:pt idx="6">
                  <c:v>4717.5</c:v>
                </c:pt>
                <c:pt idx="7">
                  <c:v>4718</c:v>
                </c:pt>
                <c:pt idx="8">
                  <c:v>4722</c:v>
                </c:pt>
                <c:pt idx="9">
                  <c:v>-5452.5</c:v>
                </c:pt>
                <c:pt idx="10">
                  <c:v>-5451.5</c:v>
                </c:pt>
                <c:pt idx="11">
                  <c:v>-10.5</c:v>
                </c:pt>
                <c:pt idx="12">
                  <c:v>5418.5</c:v>
                </c:pt>
                <c:pt idx="13">
                  <c:v>6102</c:v>
                </c:pt>
                <c:pt idx="14">
                  <c:v>0</c:v>
                </c:pt>
                <c:pt idx="15">
                  <c:v>2</c:v>
                </c:pt>
                <c:pt idx="16">
                  <c:v>6</c:v>
                </c:pt>
                <c:pt idx="17">
                  <c:v>3910.5</c:v>
                </c:pt>
                <c:pt idx="18">
                  <c:v>3950</c:v>
                </c:pt>
                <c:pt idx="19">
                  <c:v>4004</c:v>
                </c:pt>
                <c:pt idx="20">
                  <c:v>4027</c:v>
                </c:pt>
                <c:pt idx="21">
                  <c:v>4029</c:v>
                </c:pt>
                <c:pt idx="22">
                  <c:v>4576.5</c:v>
                </c:pt>
                <c:pt idx="23">
                  <c:v>4580.5</c:v>
                </c:pt>
                <c:pt idx="24">
                  <c:v>4591</c:v>
                </c:pt>
                <c:pt idx="25">
                  <c:v>4603.5</c:v>
                </c:pt>
                <c:pt idx="26">
                  <c:v>4605.5</c:v>
                </c:pt>
                <c:pt idx="27">
                  <c:v>4663.5</c:v>
                </c:pt>
                <c:pt idx="28">
                  <c:v>4717.5</c:v>
                </c:pt>
                <c:pt idx="29">
                  <c:v>4718</c:v>
                </c:pt>
                <c:pt idx="30">
                  <c:v>4722</c:v>
                </c:pt>
                <c:pt idx="31">
                  <c:v>7511.5</c:v>
                </c:pt>
                <c:pt idx="32">
                  <c:v>7560</c:v>
                </c:pt>
                <c:pt idx="33">
                  <c:v>7692</c:v>
                </c:pt>
                <c:pt idx="34">
                  <c:v>9156</c:v>
                </c:pt>
                <c:pt idx="35">
                  <c:v>9309</c:v>
                </c:pt>
                <c:pt idx="36">
                  <c:v>10001</c:v>
                </c:pt>
                <c:pt idx="37">
                  <c:v>13016.5</c:v>
                </c:pt>
                <c:pt idx="38">
                  <c:v>13026</c:v>
                </c:pt>
                <c:pt idx="39">
                  <c:v>13026</c:v>
                </c:pt>
                <c:pt idx="40">
                  <c:v>13026</c:v>
                </c:pt>
                <c:pt idx="41">
                  <c:v>13026</c:v>
                </c:pt>
                <c:pt idx="42">
                  <c:v>13026</c:v>
                </c:pt>
                <c:pt idx="43">
                  <c:v>13026</c:v>
                </c:pt>
                <c:pt idx="44">
                  <c:v>13539</c:v>
                </c:pt>
                <c:pt idx="45">
                  <c:v>13746.5</c:v>
                </c:pt>
                <c:pt idx="46">
                  <c:v>13845</c:v>
                </c:pt>
                <c:pt idx="47">
                  <c:v>14546</c:v>
                </c:pt>
                <c:pt idx="48">
                  <c:v>14547.5</c:v>
                </c:pt>
                <c:pt idx="49">
                  <c:v>14643</c:v>
                </c:pt>
                <c:pt idx="50">
                  <c:v>16042.5</c:v>
                </c:pt>
                <c:pt idx="51">
                  <c:v>16042.5</c:v>
                </c:pt>
                <c:pt idx="52">
                  <c:v>16042.5</c:v>
                </c:pt>
                <c:pt idx="53">
                  <c:v>16073</c:v>
                </c:pt>
                <c:pt idx="54">
                  <c:v>16020.5</c:v>
                </c:pt>
                <c:pt idx="55">
                  <c:v>15295</c:v>
                </c:pt>
                <c:pt idx="56">
                  <c:v>16926</c:v>
                </c:pt>
              </c:numCache>
            </c:numRef>
          </c:xVal>
          <c:yVal>
            <c:numRef>
              <c:f>Active!$K$21:$K$77</c:f>
              <c:numCache>
                <c:formatCode>General</c:formatCode>
                <c:ptCount val="57"/>
                <c:pt idx="0">
                  <c:v>-1.3684999998076819E-2</c:v>
                </c:pt>
                <c:pt idx="1">
                  <c:v>-1.4544999998179264E-2</c:v>
                </c:pt>
                <c:pt idx="2">
                  <c:v>-1.4589999998861458E-2</c:v>
                </c:pt>
                <c:pt idx="3">
                  <c:v>-1.5515000006416813E-2</c:v>
                </c:pt>
                <c:pt idx="4">
                  <c:v>-1.4695000005303882E-2</c:v>
                </c:pt>
                <c:pt idx="5">
                  <c:v>-1.4015000000654254E-2</c:v>
                </c:pt>
                <c:pt idx="6">
                  <c:v>-1.3775000006717164E-2</c:v>
                </c:pt>
                <c:pt idx="7">
                  <c:v>-1.5720000003057066E-2</c:v>
                </c:pt>
                <c:pt idx="8">
                  <c:v>-1.5980000003764872E-2</c:v>
                </c:pt>
                <c:pt idx="9">
                  <c:v>2.042500000243308E-2</c:v>
                </c:pt>
                <c:pt idx="10">
                  <c:v>2.103499999793712E-2</c:v>
                </c:pt>
                <c:pt idx="12">
                  <c:v>-1.7565000001923181E-2</c:v>
                </c:pt>
                <c:pt idx="13">
                  <c:v>-1.8380000001343433E-2</c:v>
                </c:pt>
                <c:pt idx="14">
                  <c:v>-5.8207660913467407E-11</c:v>
                </c:pt>
                <c:pt idx="15">
                  <c:v>3.199998100171797E-4</c:v>
                </c:pt>
                <c:pt idx="16">
                  <c:v>-1.3999998191138729E-4</c:v>
                </c:pt>
                <c:pt idx="17">
                  <c:v>-1.2744999999995343E-2</c:v>
                </c:pt>
                <c:pt idx="18">
                  <c:v>-1.3500000000931323E-2</c:v>
                </c:pt>
                <c:pt idx="19">
                  <c:v>-1.1260000006586779E-2</c:v>
                </c:pt>
                <c:pt idx="20">
                  <c:v>-1.5330000001995359E-2</c:v>
                </c:pt>
                <c:pt idx="21">
                  <c:v>-1.3409999999566935E-2</c:v>
                </c:pt>
                <c:pt idx="22">
                  <c:v>-1.3684999998076819E-2</c:v>
                </c:pt>
                <c:pt idx="23">
                  <c:v>-1.4544999998179264E-2</c:v>
                </c:pt>
                <c:pt idx="24">
                  <c:v>-1.4589999998861458E-2</c:v>
                </c:pt>
                <c:pt idx="25">
                  <c:v>-1.5515000006416813E-2</c:v>
                </c:pt>
                <c:pt idx="26">
                  <c:v>-1.4695000005303882E-2</c:v>
                </c:pt>
                <c:pt idx="27">
                  <c:v>-1.4015000000654254E-2</c:v>
                </c:pt>
                <c:pt idx="28">
                  <c:v>-1.3775000006717164E-2</c:v>
                </c:pt>
                <c:pt idx="29">
                  <c:v>-1.5720000003057066E-2</c:v>
                </c:pt>
                <c:pt idx="30">
                  <c:v>-1.5980000003764872E-2</c:v>
                </c:pt>
                <c:pt idx="31">
                  <c:v>-2.2434999998949934E-2</c:v>
                </c:pt>
                <c:pt idx="32">
                  <c:v>-2.3800000002665911E-2</c:v>
                </c:pt>
                <c:pt idx="33">
                  <c:v>-2.0779999998921994E-2</c:v>
                </c:pt>
                <c:pt idx="36">
                  <c:v>-2.8189999997266568E-2</c:v>
                </c:pt>
                <c:pt idx="37">
                  <c:v>-3.3784999999625143E-2</c:v>
                </c:pt>
                <c:pt idx="38">
                  <c:v>-3.7040000024717301E-2</c:v>
                </c:pt>
                <c:pt idx="39">
                  <c:v>-3.7040000002889428E-2</c:v>
                </c:pt>
                <c:pt idx="40">
                  <c:v>-3.6140000156592578E-2</c:v>
                </c:pt>
                <c:pt idx="41">
                  <c:v>-3.6140000003797468E-2</c:v>
                </c:pt>
                <c:pt idx="42">
                  <c:v>-3.5139999999955762E-2</c:v>
                </c:pt>
                <c:pt idx="43">
                  <c:v>-3.5139999992679805E-2</c:v>
                </c:pt>
                <c:pt idx="45">
                  <c:v>-3.718500000104541E-2</c:v>
                </c:pt>
                <c:pt idx="46">
                  <c:v>-3.5250000000814907E-2</c:v>
                </c:pt>
                <c:pt idx="47">
                  <c:v>-3.7039999995613471E-2</c:v>
                </c:pt>
                <c:pt idx="48">
                  <c:v>-3.7674999999580905E-2</c:v>
                </c:pt>
                <c:pt idx="49">
                  <c:v>-3.7420000000565778E-2</c:v>
                </c:pt>
                <c:pt idx="50">
                  <c:v>-3.8125000064610504E-2</c:v>
                </c:pt>
                <c:pt idx="51">
                  <c:v>-3.7624999982654117E-2</c:v>
                </c:pt>
                <c:pt idx="52">
                  <c:v>-3.5925000076531433E-2</c:v>
                </c:pt>
                <c:pt idx="53">
                  <c:v>-3.966999999829568E-2</c:v>
                </c:pt>
                <c:pt idx="54">
                  <c:v>-3.876499999751104E-2</c:v>
                </c:pt>
                <c:pt idx="55">
                  <c:v>-4.0150000000721775E-2</c:v>
                </c:pt>
                <c:pt idx="56">
                  <c:v>-4.5740000001387671E-2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88F-4C93-AF6C-019EBE2B30BF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Active!$F$21:$F$77</c:f>
              <c:numCache>
                <c:formatCode>General</c:formatCode>
                <c:ptCount val="57"/>
                <c:pt idx="0">
                  <c:v>4576.5</c:v>
                </c:pt>
                <c:pt idx="1">
                  <c:v>4580.5</c:v>
                </c:pt>
                <c:pt idx="2">
                  <c:v>4591</c:v>
                </c:pt>
                <c:pt idx="3">
                  <c:v>4603.5</c:v>
                </c:pt>
                <c:pt idx="4">
                  <c:v>4605.5</c:v>
                </c:pt>
                <c:pt idx="5">
                  <c:v>4663.5</c:v>
                </c:pt>
                <c:pt idx="6">
                  <c:v>4717.5</c:v>
                </c:pt>
                <c:pt idx="7">
                  <c:v>4718</c:v>
                </c:pt>
                <c:pt idx="8">
                  <c:v>4722</c:v>
                </c:pt>
                <c:pt idx="9">
                  <c:v>-5452.5</c:v>
                </c:pt>
                <c:pt idx="10">
                  <c:v>-5451.5</c:v>
                </c:pt>
                <c:pt idx="11">
                  <c:v>-10.5</c:v>
                </c:pt>
                <c:pt idx="12">
                  <c:v>5418.5</c:v>
                </c:pt>
                <c:pt idx="13">
                  <c:v>6102</c:v>
                </c:pt>
                <c:pt idx="14">
                  <c:v>0</c:v>
                </c:pt>
                <c:pt idx="15">
                  <c:v>2</c:v>
                </c:pt>
                <c:pt idx="16">
                  <c:v>6</c:v>
                </c:pt>
                <c:pt idx="17">
                  <c:v>3910.5</c:v>
                </c:pt>
                <c:pt idx="18">
                  <c:v>3950</c:v>
                </c:pt>
                <c:pt idx="19">
                  <c:v>4004</c:v>
                </c:pt>
                <c:pt idx="20">
                  <c:v>4027</c:v>
                </c:pt>
                <c:pt idx="21">
                  <c:v>4029</c:v>
                </c:pt>
                <c:pt idx="22">
                  <c:v>4576.5</c:v>
                </c:pt>
                <c:pt idx="23">
                  <c:v>4580.5</c:v>
                </c:pt>
                <c:pt idx="24">
                  <c:v>4591</c:v>
                </c:pt>
                <c:pt idx="25">
                  <c:v>4603.5</c:v>
                </c:pt>
                <c:pt idx="26">
                  <c:v>4605.5</c:v>
                </c:pt>
                <c:pt idx="27">
                  <c:v>4663.5</c:v>
                </c:pt>
                <c:pt idx="28">
                  <c:v>4717.5</c:v>
                </c:pt>
                <c:pt idx="29">
                  <c:v>4718</c:v>
                </c:pt>
                <c:pt idx="30">
                  <c:v>4722</c:v>
                </c:pt>
                <c:pt idx="31">
                  <c:v>7511.5</c:v>
                </c:pt>
                <c:pt idx="32">
                  <c:v>7560</c:v>
                </c:pt>
                <c:pt idx="33">
                  <c:v>7692</c:v>
                </c:pt>
                <c:pt idx="34">
                  <c:v>9156</c:v>
                </c:pt>
                <c:pt idx="35">
                  <c:v>9309</c:v>
                </c:pt>
                <c:pt idx="36">
                  <c:v>10001</c:v>
                </c:pt>
                <c:pt idx="37">
                  <c:v>13016.5</c:v>
                </c:pt>
                <c:pt idx="38">
                  <c:v>13026</c:v>
                </c:pt>
                <c:pt idx="39">
                  <c:v>13026</c:v>
                </c:pt>
                <c:pt idx="40">
                  <c:v>13026</c:v>
                </c:pt>
                <c:pt idx="41">
                  <c:v>13026</c:v>
                </c:pt>
                <c:pt idx="42">
                  <c:v>13026</c:v>
                </c:pt>
                <c:pt idx="43">
                  <c:v>13026</c:v>
                </c:pt>
                <c:pt idx="44">
                  <c:v>13539</c:v>
                </c:pt>
                <c:pt idx="45">
                  <c:v>13746.5</c:v>
                </c:pt>
                <c:pt idx="46">
                  <c:v>13845</c:v>
                </c:pt>
                <c:pt idx="47">
                  <c:v>14546</c:v>
                </c:pt>
                <c:pt idx="48">
                  <c:v>14547.5</c:v>
                </c:pt>
                <c:pt idx="49">
                  <c:v>14643</c:v>
                </c:pt>
                <c:pt idx="50">
                  <c:v>16042.5</c:v>
                </c:pt>
                <c:pt idx="51">
                  <c:v>16042.5</c:v>
                </c:pt>
                <c:pt idx="52">
                  <c:v>16042.5</c:v>
                </c:pt>
                <c:pt idx="53">
                  <c:v>16073</c:v>
                </c:pt>
                <c:pt idx="54">
                  <c:v>16020.5</c:v>
                </c:pt>
                <c:pt idx="55">
                  <c:v>15295</c:v>
                </c:pt>
                <c:pt idx="56">
                  <c:v>16926</c:v>
                </c:pt>
              </c:numCache>
            </c:numRef>
          </c:xVal>
          <c:yVal>
            <c:numRef>
              <c:f>Active!$L$21:$L$77</c:f>
              <c:numCache>
                <c:formatCode>General</c:formatCode>
                <c:ptCount val="5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88F-4C93-AF6C-019EBE2B30B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Active!$F$21:$F$77</c:f>
              <c:numCache>
                <c:formatCode>General</c:formatCode>
                <c:ptCount val="57"/>
                <c:pt idx="0">
                  <c:v>4576.5</c:v>
                </c:pt>
                <c:pt idx="1">
                  <c:v>4580.5</c:v>
                </c:pt>
                <c:pt idx="2">
                  <c:v>4591</c:v>
                </c:pt>
                <c:pt idx="3">
                  <c:v>4603.5</c:v>
                </c:pt>
                <c:pt idx="4">
                  <c:v>4605.5</c:v>
                </c:pt>
                <c:pt idx="5">
                  <c:v>4663.5</c:v>
                </c:pt>
                <c:pt idx="6">
                  <c:v>4717.5</c:v>
                </c:pt>
                <c:pt idx="7">
                  <c:v>4718</c:v>
                </c:pt>
                <c:pt idx="8">
                  <c:v>4722</c:v>
                </c:pt>
                <c:pt idx="9">
                  <c:v>-5452.5</c:v>
                </c:pt>
                <c:pt idx="10">
                  <c:v>-5451.5</c:v>
                </c:pt>
                <c:pt idx="11">
                  <c:v>-10.5</c:v>
                </c:pt>
                <c:pt idx="12">
                  <c:v>5418.5</c:v>
                </c:pt>
                <c:pt idx="13">
                  <c:v>6102</c:v>
                </c:pt>
                <c:pt idx="14">
                  <c:v>0</c:v>
                </c:pt>
                <c:pt idx="15">
                  <c:v>2</c:v>
                </c:pt>
                <c:pt idx="16">
                  <c:v>6</c:v>
                </c:pt>
                <c:pt idx="17">
                  <c:v>3910.5</c:v>
                </c:pt>
                <c:pt idx="18">
                  <c:v>3950</c:v>
                </c:pt>
                <c:pt idx="19">
                  <c:v>4004</c:v>
                </c:pt>
                <c:pt idx="20">
                  <c:v>4027</c:v>
                </c:pt>
                <c:pt idx="21">
                  <c:v>4029</c:v>
                </c:pt>
                <c:pt idx="22">
                  <c:v>4576.5</c:v>
                </c:pt>
                <c:pt idx="23">
                  <c:v>4580.5</c:v>
                </c:pt>
                <c:pt idx="24">
                  <c:v>4591</c:v>
                </c:pt>
                <c:pt idx="25">
                  <c:v>4603.5</c:v>
                </c:pt>
                <c:pt idx="26">
                  <c:v>4605.5</c:v>
                </c:pt>
                <c:pt idx="27">
                  <c:v>4663.5</c:v>
                </c:pt>
                <c:pt idx="28">
                  <c:v>4717.5</c:v>
                </c:pt>
                <c:pt idx="29">
                  <c:v>4718</c:v>
                </c:pt>
                <c:pt idx="30">
                  <c:v>4722</c:v>
                </c:pt>
                <c:pt idx="31">
                  <c:v>7511.5</c:v>
                </c:pt>
                <c:pt idx="32">
                  <c:v>7560</c:v>
                </c:pt>
                <c:pt idx="33">
                  <c:v>7692</c:v>
                </c:pt>
                <c:pt idx="34">
                  <c:v>9156</c:v>
                </c:pt>
                <c:pt idx="35">
                  <c:v>9309</c:v>
                </c:pt>
                <c:pt idx="36">
                  <c:v>10001</c:v>
                </c:pt>
                <c:pt idx="37">
                  <c:v>13016.5</c:v>
                </c:pt>
                <c:pt idx="38">
                  <c:v>13026</c:v>
                </c:pt>
                <c:pt idx="39">
                  <c:v>13026</c:v>
                </c:pt>
                <c:pt idx="40">
                  <c:v>13026</c:v>
                </c:pt>
                <c:pt idx="41">
                  <c:v>13026</c:v>
                </c:pt>
                <c:pt idx="42">
                  <c:v>13026</c:v>
                </c:pt>
                <c:pt idx="43">
                  <c:v>13026</c:v>
                </c:pt>
                <c:pt idx="44">
                  <c:v>13539</c:v>
                </c:pt>
                <c:pt idx="45">
                  <c:v>13746.5</c:v>
                </c:pt>
                <c:pt idx="46">
                  <c:v>13845</c:v>
                </c:pt>
                <c:pt idx="47">
                  <c:v>14546</c:v>
                </c:pt>
                <c:pt idx="48">
                  <c:v>14547.5</c:v>
                </c:pt>
                <c:pt idx="49">
                  <c:v>14643</c:v>
                </c:pt>
                <c:pt idx="50">
                  <c:v>16042.5</c:v>
                </c:pt>
                <c:pt idx="51">
                  <c:v>16042.5</c:v>
                </c:pt>
                <c:pt idx="52">
                  <c:v>16042.5</c:v>
                </c:pt>
                <c:pt idx="53">
                  <c:v>16073</c:v>
                </c:pt>
                <c:pt idx="54">
                  <c:v>16020.5</c:v>
                </c:pt>
                <c:pt idx="55">
                  <c:v>15295</c:v>
                </c:pt>
                <c:pt idx="56">
                  <c:v>16926</c:v>
                </c:pt>
              </c:numCache>
            </c:numRef>
          </c:xVal>
          <c:yVal>
            <c:numRef>
              <c:f>Active!$M$21:$M$77</c:f>
              <c:numCache>
                <c:formatCode>General</c:formatCode>
                <c:ptCount val="5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88F-4C93-AF6C-019EBE2B30B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Active!$F$21:$F$77</c:f>
              <c:numCache>
                <c:formatCode>General</c:formatCode>
                <c:ptCount val="57"/>
                <c:pt idx="0">
                  <c:v>4576.5</c:v>
                </c:pt>
                <c:pt idx="1">
                  <c:v>4580.5</c:v>
                </c:pt>
                <c:pt idx="2">
                  <c:v>4591</c:v>
                </c:pt>
                <c:pt idx="3">
                  <c:v>4603.5</c:v>
                </c:pt>
                <c:pt idx="4">
                  <c:v>4605.5</c:v>
                </c:pt>
                <c:pt idx="5">
                  <c:v>4663.5</c:v>
                </c:pt>
                <c:pt idx="6">
                  <c:v>4717.5</c:v>
                </c:pt>
                <c:pt idx="7">
                  <c:v>4718</c:v>
                </c:pt>
                <c:pt idx="8">
                  <c:v>4722</c:v>
                </c:pt>
                <c:pt idx="9">
                  <c:v>-5452.5</c:v>
                </c:pt>
                <c:pt idx="10">
                  <c:v>-5451.5</c:v>
                </c:pt>
                <c:pt idx="11">
                  <c:v>-10.5</c:v>
                </c:pt>
                <c:pt idx="12">
                  <c:v>5418.5</c:v>
                </c:pt>
                <c:pt idx="13">
                  <c:v>6102</c:v>
                </c:pt>
                <c:pt idx="14">
                  <c:v>0</c:v>
                </c:pt>
                <c:pt idx="15">
                  <c:v>2</c:v>
                </c:pt>
                <c:pt idx="16">
                  <c:v>6</c:v>
                </c:pt>
                <c:pt idx="17">
                  <c:v>3910.5</c:v>
                </c:pt>
                <c:pt idx="18">
                  <c:v>3950</c:v>
                </c:pt>
                <c:pt idx="19">
                  <c:v>4004</c:v>
                </c:pt>
                <c:pt idx="20">
                  <c:v>4027</c:v>
                </c:pt>
                <c:pt idx="21">
                  <c:v>4029</c:v>
                </c:pt>
                <c:pt idx="22">
                  <c:v>4576.5</c:v>
                </c:pt>
                <c:pt idx="23">
                  <c:v>4580.5</c:v>
                </c:pt>
                <c:pt idx="24">
                  <c:v>4591</c:v>
                </c:pt>
                <c:pt idx="25">
                  <c:v>4603.5</c:v>
                </c:pt>
                <c:pt idx="26">
                  <c:v>4605.5</c:v>
                </c:pt>
                <c:pt idx="27">
                  <c:v>4663.5</c:v>
                </c:pt>
                <c:pt idx="28">
                  <c:v>4717.5</c:v>
                </c:pt>
                <c:pt idx="29">
                  <c:v>4718</c:v>
                </c:pt>
                <c:pt idx="30">
                  <c:v>4722</c:v>
                </c:pt>
                <c:pt idx="31">
                  <c:v>7511.5</c:v>
                </c:pt>
                <c:pt idx="32">
                  <c:v>7560</c:v>
                </c:pt>
                <c:pt idx="33">
                  <c:v>7692</c:v>
                </c:pt>
                <c:pt idx="34">
                  <c:v>9156</c:v>
                </c:pt>
                <c:pt idx="35">
                  <c:v>9309</c:v>
                </c:pt>
                <c:pt idx="36">
                  <c:v>10001</c:v>
                </c:pt>
                <c:pt idx="37">
                  <c:v>13016.5</c:v>
                </c:pt>
                <c:pt idx="38">
                  <c:v>13026</c:v>
                </c:pt>
                <c:pt idx="39">
                  <c:v>13026</c:v>
                </c:pt>
                <c:pt idx="40">
                  <c:v>13026</c:v>
                </c:pt>
                <c:pt idx="41">
                  <c:v>13026</c:v>
                </c:pt>
                <c:pt idx="42">
                  <c:v>13026</c:v>
                </c:pt>
                <c:pt idx="43">
                  <c:v>13026</c:v>
                </c:pt>
                <c:pt idx="44">
                  <c:v>13539</c:v>
                </c:pt>
                <c:pt idx="45">
                  <c:v>13746.5</c:v>
                </c:pt>
                <c:pt idx="46">
                  <c:v>13845</c:v>
                </c:pt>
                <c:pt idx="47">
                  <c:v>14546</c:v>
                </c:pt>
                <c:pt idx="48">
                  <c:v>14547.5</c:v>
                </c:pt>
                <c:pt idx="49">
                  <c:v>14643</c:v>
                </c:pt>
                <c:pt idx="50">
                  <c:v>16042.5</c:v>
                </c:pt>
                <c:pt idx="51">
                  <c:v>16042.5</c:v>
                </c:pt>
                <c:pt idx="52">
                  <c:v>16042.5</c:v>
                </c:pt>
                <c:pt idx="53">
                  <c:v>16073</c:v>
                </c:pt>
                <c:pt idx="54">
                  <c:v>16020.5</c:v>
                </c:pt>
                <c:pt idx="55">
                  <c:v>15295</c:v>
                </c:pt>
                <c:pt idx="56">
                  <c:v>16926</c:v>
                </c:pt>
              </c:numCache>
            </c:numRef>
          </c:xVal>
          <c:yVal>
            <c:numRef>
              <c:f>Active!$N$21:$N$77</c:f>
              <c:numCache>
                <c:formatCode>General</c:formatCode>
                <c:ptCount val="5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88F-4C93-AF6C-019EBE2B30B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Active!$F$21:$F$77</c:f>
              <c:numCache>
                <c:formatCode>General</c:formatCode>
                <c:ptCount val="57"/>
                <c:pt idx="0">
                  <c:v>4576.5</c:v>
                </c:pt>
                <c:pt idx="1">
                  <c:v>4580.5</c:v>
                </c:pt>
                <c:pt idx="2">
                  <c:v>4591</c:v>
                </c:pt>
                <c:pt idx="3">
                  <c:v>4603.5</c:v>
                </c:pt>
                <c:pt idx="4">
                  <c:v>4605.5</c:v>
                </c:pt>
                <c:pt idx="5">
                  <c:v>4663.5</c:v>
                </c:pt>
                <c:pt idx="6">
                  <c:v>4717.5</c:v>
                </c:pt>
                <c:pt idx="7">
                  <c:v>4718</c:v>
                </c:pt>
                <c:pt idx="8">
                  <c:v>4722</c:v>
                </c:pt>
                <c:pt idx="9">
                  <c:v>-5452.5</c:v>
                </c:pt>
                <c:pt idx="10">
                  <c:v>-5451.5</c:v>
                </c:pt>
                <c:pt idx="11">
                  <c:v>-10.5</c:v>
                </c:pt>
                <c:pt idx="12">
                  <c:v>5418.5</c:v>
                </c:pt>
                <c:pt idx="13">
                  <c:v>6102</c:v>
                </c:pt>
                <c:pt idx="14">
                  <c:v>0</c:v>
                </c:pt>
                <c:pt idx="15">
                  <c:v>2</c:v>
                </c:pt>
                <c:pt idx="16">
                  <c:v>6</c:v>
                </c:pt>
                <c:pt idx="17">
                  <c:v>3910.5</c:v>
                </c:pt>
                <c:pt idx="18">
                  <c:v>3950</c:v>
                </c:pt>
                <c:pt idx="19">
                  <c:v>4004</c:v>
                </c:pt>
                <c:pt idx="20">
                  <c:v>4027</c:v>
                </c:pt>
                <c:pt idx="21">
                  <c:v>4029</c:v>
                </c:pt>
                <c:pt idx="22">
                  <c:v>4576.5</c:v>
                </c:pt>
                <c:pt idx="23">
                  <c:v>4580.5</c:v>
                </c:pt>
                <c:pt idx="24">
                  <c:v>4591</c:v>
                </c:pt>
                <c:pt idx="25">
                  <c:v>4603.5</c:v>
                </c:pt>
                <c:pt idx="26">
                  <c:v>4605.5</c:v>
                </c:pt>
                <c:pt idx="27">
                  <c:v>4663.5</c:v>
                </c:pt>
                <c:pt idx="28">
                  <c:v>4717.5</c:v>
                </c:pt>
                <c:pt idx="29">
                  <c:v>4718</c:v>
                </c:pt>
                <c:pt idx="30">
                  <c:v>4722</c:v>
                </c:pt>
                <c:pt idx="31">
                  <c:v>7511.5</c:v>
                </c:pt>
                <c:pt idx="32">
                  <c:v>7560</c:v>
                </c:pt>
                <c:pt idx="33">
                  <c:v>7692</c:v>
                </c:pt>
                <c:pt idx="34">
                  <c:v>9156</c:v>
                </c:pt>
                <c:pt idx="35">
                  <c:v>9309</c:v>
                </c:pt>
                <c:pt idx="36">
                  <c:v>10001</c:v>
                </c:pt>
                <c:pt idx="37">
                  <c:v>13016.5</c:v>
                </c:pt>
                <c:pt idx="38">
                  <c:v>13026</c:v>
                </c:pt>
                <c:pt idx="39">
                  <c:v>13026</c:v>
                </c:pt>
                <c:pt idx="40">
                  <c:v>13026</c:v>
                </c:pt>
                <c:pt idx="41">
                  <c:v>13026</c:v>
                </c:pt>
                <c:pt idx="42">
                  <c:v>13026</c:v>
                </c:pt>
                <c:pt idx="43">
                  <c:v>13026</c:v>
                </c:pt>
                <c:pt idx="44">
                  <c:v>13539</c:v>
                </c:pt>
                <c:pt idx="45">
                  <c:v>13746.5</c:v>
                </c:pt>
                <c:pt idx="46">
                  <c:v>13845</c:v>
                </c:pt>
                <c:pt idx="47">
                  <c:v>14546</c:v>
                </c:pt>
                <c:pt idx="48">
                  <c:v>14547.5</c:v>
                </c:pt>
                <c:pt idx="49">
                  <c:v>14643</c:v>
                </c:pt>
                <c:pt idx="50">
                  <c:v>16042.5</c:v>
                </c:pt>
                <c:pt idx="51">
                  <c:v>16042.5</c:v>
                </c:pt>
                <c:pt idx="52">
                  <c:v>16042.5</c:v>
                </c:pt>
                <c:pt idx="53">
                  <c:v>16073</c:v>
                </c:pt>
                <c:pt idx="54">
                  <c:v>16020.5</c:v>
                </c:pt>
                <c:pt idx="55">
                  <c:v>15295</c:v>
                </c:pt>
                <c:pt idx="56">
                  <c:v>16926</c:v>
                </c:pt>
              </c:numCache>
            </c:numRef>
          </c:xVal>
          <c:yVal>
            <c:numRef>
              <c:f>Active!$O$21:$O$77</c:f>
              <c:numCache>
                <c:formatCode>General</c:formatCode>
                <c:ptCount val="57"/>
                <c:pt idx="0">
                  <c:v>-1.3265902732976231E-2</c:v>
                </c:pt>
                <c:pt idx="1">
                  <c:v>-1.3275623995754665E-2</c:v>
                </c:pt>
                <c:pt idx="2">
                  <c:v>-1.3301142310548053E-2</c:v>
                </c:pt>
                <c:pt idx="3">
                  <c:v>-1.3331521256730657E-2</c:v>
                </c:pt>
                <c:pt idx="4">
                  <c:v>-1.3336381888119872E-2</c:v>
                </c:pt>
                <c:pt idx="5">
                  <c:v>-1.3477340198407158E-2</c:v>
                </c:pt>
                <c:pt idx="6">
                  <c:v>-1.3608577245916008E-2</c:v>
                </c:pt>
                <c:pt idx="7">
                  <c:v>-1.3609792403763313E-2</c:v>
                </c:pt>
                <c:pt idx="8">
                  <c:v>-1.3619513666541747E-2</c:v>
                </c:pt>
                <c:pt idx="9">
                  <c:v>1.1107733368250943E-2</c:v>
                </c:pt>
                <c:pt idx="10">
                  <c:v>1.1105303052556336E-2</c:v>
                </c:pt>
                <c:pt idx="11">
                  <c:v>-2.1180446418077145E-3</c:v>
                </c:pt>
                <c:pt idx="12">
                  <c:v>-1.5312228547836464E-2</c:v>
                </c:pt>
                <c:pt idx="13">
                  <c:v>-1.6973349325101274E-2</c:v>
                </c:pt>
                <c:pt idx="14">
                  <c:v>-2.143562956601102E-3</c:v>
                </c:pt>
                <c:pt idx="15">
                  <c:v>-2.1484235879903188E-3</c:v>
                </c:pt>
                <c:pt idx="16">
                  <c:v>-2.1581448507687522E-3</c:v>
                </c:pt>
                <c:pt idx="17">
                  <c:v>-1.1647312480367067E-2</c:v>
                </c:pt>
                <c:pt idx="18">
                  <c:v>-1.1743309950304098E-2</c:v>
                </c:pt>
                <c:pt idx="19">
                  <c:v>-1.1874546997812948E-2</c:v>
                </c:pt>
                <c:pt idx="20">
                  <c:v>-1.193044425878894E-2</c:v>
                </c:pt>
                <c:pt idx="21">
                  <c:v>-1.1935304890178158E-2</c:v>
                </c:pt>
                <c:pt idx="22">
                  <c:v>-1.3265902732976231E-2</c:v>
                </c:pt>
                <c:pt idx="23">
                  <c:v>-1.3275623995754665E-2</c:v>
                </c:pt>
                <c:pt idx="24">
                  <c:v>-1.3301142310548053E-2</c:v>
                </c:pt>
                <c:pt idx="25">
                  <c:v>-1.3331521256730657E-2</c:v>
                </c:pt>
                <c:pt idx="26">
                  <c:v>-1.3336381888119872E-2</c:v>
                </c:pt>
                <c:pt idx="27">
                  <c:v>-1.3477340198407158E-2</c:v>
                </c:pt>
                <c:pt idx="28">
                  <c:v>-1.3608577245916008E-2</c:v>
                </c:pt>
                <c:pt idx="29">
                  <c:v>-1.3609792403763313E-2</c:v>
                </c:pt>
                <c:pt idx="30">
                  <c:v>-1.3619513666541747E-2</c:v>
                </c:pt>
                <c:pt idx="31">
                  <c:v>-2.0398879296651747E-2</c:v>
                </c:pt>
                <c:pt idx="32">
                  <c:v>-2.0516749607840251E-2</c:v>
                </c:pt>
                <c:pt idx="33">
                  <c:v>-2.0837551279528556E-2</c:v>
                </c:pt>
                <c:pt idx="34">
                  <c:v>-2.4395533456435185E-2</c:v>
                </c:pt>
                <c:pt idx="35">
                  <c:v>-2.4767371757710262E-2</c:v>
                </c:pt>
                <c:pt idx="36">
                  <c:v>-2.6449150218379243E-2</c:v>
                </c:pt>
                <c:pt idx="37">
                  <c:v>-3.3777767195470737E-2</c:v>
                </c:pt>
                <c:pt idx="38">
                  <c:v>-3.3800855194569518E-2</c:v>
                </c:pt>
                <c:pt idx="39">
                  <c:v>-3.3800855194569518E-2</c:v>
                </c:pt>
                <c:pt idx="40">
                  <c:v>-3.3800855194569518E-2</c:v>
                </c:pt>
                <c:pt idx="41">
                  <c:v>-3.3800855194569518E-2</c:v>
                </c:pt>
                <c:pt idx="42">
                  <c:v>-3.3800855194569518E-2</c:v>
                </c:pt>
                <c:pt idx="43">
                  <c:v>-3.3800855194569518E-2</c:v>
                </c:pt>
                <c:pt idx="44">
                  <c:v>-3.5047607145903603E-2</c:v>
                </c:pt>
                <c:pt idx="45">
                  <c:v>-3.5551897652534831E-2</c:v>
                </c:pt>
                <c:pt idx="46">
                  <c:v>-3.579128374845375E-2</c:v>
                </c:pt>
                <c:pt idx="47">
                  <c:v>-3.7494935050374212E-2</c:v>
                </c:pt>
                <c:pt idx="48">
                  <c:v>-3.7498580523916122E-2</c:v>
                </c:pt>
                <c:pt idx="49">
                  <c:v>-3.7730675672751221E-2</c:v>
                </c:pt>
                <c:pt idx="50">
                  <c:v>-4.1131902487355612E-2</c:v>
                </c:pt>
                <c:pt idx="51">
                  <c:v>-4.1131902487355612E-2</c:v>
                </c:pt>
                <c:pt idx="52">
                  <c:v>-4.1131902487355612E-2</c:v>
                </c:pt>
                <c:pt idx="53">
                  <c:v>-4.1206027116041169E-2</c:v>
                </c:pt>
                <c:pt idx="54">
                  <c:v>-4.1078435542074229E-2</c:v>
                </c:pt>
                <c:pt idx="55">
                  <c:v>-3.9315241505635867E-2</c:v>
                </c:pt>
                <c:pt idx="56">
                  <c:v>-4.3279086403542083E-2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88F-4C93-AF6C-019EBE2B30B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Active!$F$21:$F$77</c:f>
              <c:numCache>
                <c:formatCode>General</c:formatCode>
                <c:ptCount val="57"/>
                <c:pt idx="0">
                  <c:v>4576.5</c:v>
                </c:pt>
                <c:pt idx="1">
                  <c:v>4580.5</c:v>
                </c:pt>
                <c:pt idx="2">
                  <c:v>4591</c:v>
                </c:pt>
                <c:pt idx="3">
                  <c:v>4603.5</c:v>
                </c:pt>
                <c:pt idx="4">
                  <c:v>4605.5</c:v>
                </c:pt>
                <c:pt idx="5">
                  <c:v>4663.5</c:v>
                </c:pt>
                <c:pt idx="6">
                  <c:v>4717.5</c:v>
                </c:pt>
                <c:pt idx="7">
                  <c:v>4718</c:v>
                </c:pt>
                <c:pt idx="8">
                  <c:v>4722</c:v>
                </c:pt>
                <c:pt idx="9">
                  <c:v>-5452.5</c:v>
                </c:pt>
                <c:pt idx="10">
                  <c:v>-5451.5</c:v>
                </c:pt>
                <c:pt idx="11">
                  <c:v>-10.5</c:v>
                </c:pt>
                <c:pt idx="12">
                  <c:v>5418.5</c:v>
                </c:pt>
                <c:pt idx="13">
                  <c:v>6102</c:v>
                </c:pt>
                <c:pt idx="14">
                  <c:v>0</c:v>
                </c:pt>
                <c:pt idx="15">
                  <c:v>2</c:v>
                </c:pt>
                <c:pt idx="16">
                  <c:v>6</c:v>
                </c:pt>
                <c:pt idx="17">
                  <c:v>3910.5</c:v>
                </c:pt>
                <c:pt idx="18">
                  <c:v>3950</c:v>
                </c:pt>
                <c:pt idx="19">
                  <c:v>4004</c:v>
                </c:pt>
                <c:pt idx="20">
                  <c:v>4027</c:v>
                </c:pt>
                <c:pt idx="21">
                  <c:v>4029</c:v>
                </c:pt>
                <c:pt idx="22">
                  <c:v>4576.5</c:v>
                </c:pt>
                <c:pt idx="23">
                  <c:v>4580.5</c:v>
                </c:pt>
                <c:pt idx="24">
                  <c:v>4591</c:v>
                </c:pt>
                <c:pt idx="25">
                  <c:v>4603.5</c:v>
                </c:pt>
                <c:pt idx="26">
                  <c:v>4605.5</c:v>
                </c:pt>
                <c:pt idx="27">
                  <c:v>4663.5</c:v>
                </c:pt>
                <c:pt idx="28">
                  <c:v>4717.5</c:v>
                </c:pt>
                <c:pt idx="29">
                  <c:v>4718</c:v>
                </c:pt>
                <c:pt idx="30">
                  <c:v>4722</c:v>
                </c:pt>
                <c:pt idx="31">
                  <c:v>7511.5</c:v>
                </c:pt>
                <c:pt idx="32">
                  <c:v>7560</c:v>
                </c:pt>
                <c:pt idx="33">
                  <c:v>7692</c:v>
                </c:pt>
                <c:pt idx="34">
                  <c:v>9156</c:v>
                </c:pt>
                <c:pt idx="35">
                  <c:v>9309</c:v>
                </c:pt>
                <c:pt idx="36">
                  <c:v>10001</c:v>
                </c:pt>
                <c:pt idx="37">
                  <c:v>13016.5</c:v>
                </c:pt>
                <c:pt idx="38">
                  <c:v>13026</c:v>
                </c:pt>
                <c:pt idx="39">
                  <c:v>13026</c:v>
                </c:pt>
                <c:pt idx="40">
                  <c:v>13026</c:v>
                </c:pt>
                <c:pt idx="41">
                  <c:v>13026</c:v>
                </c:pt>
                <c:pt idx="42">
                  <c:v>13026</c:v>
                </c:pt>
                <c:pt idx="43">
                  <c:v>13026</c:v>
                </c:pt>
                <c:pt idx="44">
                  <c:v>13539</c:v>
                </c:pt>
                <c:pt idx="45">
                  <c:v>13746.5</c:v>
                </c:pt>
                <c:pt idx="46">
                  <c:v>13845</c:v>
                </c:pt>
                <c:pt idx="47">
                  <c:v>14546</c:v>
                </c:pt>
                <c:pt idx="48">
                  <c:v>14547.5</c:v>
                </c:pt>
                <c:pt idx="49">
                  <c:v>14643</c:v>
                </c:pt>
                <c:pt idx="50">
                  <c:v>16042.5</c:v>
                </c:pt>
                <c:pt idx="51">
                  <c:v>16042.5</c:v>
                </c:pt>
                <c:pt idx="52">
                  <c:v>16042.5</c:v>
                </c:pt>
                <c:pt idx="53">
                  <c:v>16073</c:v>
                </c:pt>
                <c:pt idx="54">
                  <c:v>16020.5</c:v>
                </c:pt>
                <c:pt idx="55">
                  <c:v>15295</c:v>
                </c:pt>
                <c:pt idx="56">
                  <c:v>16926</c:v>
                </c:pt>
              </c:numCache>
            </c:numRef>
          </c:xVal>
          <c:yVal>
            <c:numRef>
              <c:f>Active!$U$21:$U$77</c:f>
              <c:numCache>
                <c:formatCode>General</c:formatCode>
                <c:ptCount val="57"/>
                <c:pt idx="34">
                  <c:v>-2.0039999995788094E-2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88F-4C93-AF6C-019EBE2B3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79096"/>
        <c:axId val="1"/>
      </c:scatterChart>
      <c:valAx>
        <c:axId val="846879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85148514851486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04950495049507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7909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670438472418671"/>
          <c:y val="0.9088076726258274"/>
          <c:w val="0.68033946251768029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552450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3B8AB01A-17DC-3387-8B94-B1B7D45297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917" TargetMode="External"/><Relationship Id="rId13" Type="http://schemas.openxmlformats.org/officeDocument/2006/relationships/hyperlink" Target="http://vsolj.cetus-net.org/no46.pdf" TargetMode="External"/><Relationship Id="rId18" Type="http://schemas.openxmlformats.org/officeDocument/2006/relationships/hyperlink" Target="http://vsolj.cetus-net.org/vsoljno59.pdf" TargetMode="External"/><Relationship Id="rId3" Type="http://schemas.openxmlformats.org/officeDocument/2006/relationships/hyperlink" Target="http://www.konkoly.hu/cgi-bin/IBVS?5300" TargetMode="External"/><Relationship Id="rId7" Type="http://schemas.openxmlformats.org/officeDocument/2006/relationships/hyperlink" Target="http://www.konkoly.hu/cgi-bin/IBVS?5677" TargetMode="External"/><Relationship Id="rId12" Type="http://schemas.openxmlformats.org/officeDocument/2006/relationships/hyperlink" Target="http://var.astro.cz/oejv/issues/oejv0172.pdf" TargetMode="External"/><Relationship Id="rId17" Type="http://schemas.openxmlformats.org/officeDocument/2006/relationships/hyperlink" Target="http://vsolj.cetus-net.org/vsoljno59.pdf" TargetMode="External"/><Relationship Id="rId2" Type="http://schemas.openxmlformats.org/officeDocument/2006/relationships/hyperlink" Target="http://www.konkoly.hu/cgi-bin/IBVS?5300" TargetMode="External"/><Relationship Id="rId16" Type="http://schemas.openxmlformats.org/officeDocument/2006/relationships/hyperlink" Target="http://vsolj.cetus-net.org/vsoljno59.pdf" TargetMode="External"/><Relationship Id="rId1" Type="http://schemas.openxmlformats.org/officeDocument/2006/relationships/hyperlink" Target="http://www.konkoly.hu/cgi-bin/IBVS?5300" TargetMode="External"/><Relationship Id="rId6" Type="http://schemas.openxmlformats.org/officeDocument/2006/relationships/hyperlink" Target="http://www.konkoly.hu/cgi-bin/IBVS?5592" TargetMode="External"/><Relationship Id="rId11" Type="http://schemas.openxmlformats.org/officeDocument/2006/relationships/hyperlink" Target="http://www.bav-astro.de/sfs/BAVM_link.php?BAVMnr=238" TargetMode="External"/><Relationship Id="rId5" Type="http://schemas.openxmlformats.org/officeDocument/2006/relationships/hyperlink" Target="http://www.konkoly.hu/cgi-bin/IBVS?5300" TargetMode="External"/><Relationship Id="rId15" Type="http://schemas.openxmlformats.org/officeDocument/2006/relationships/hyperlink" Target="http://vsolj.cetus-net.org/vsoljno51.pdf" TargetMode="External"/><Relationship Id="rId10" Type="http://schemas.openxmlformats.org/officeDocument/2006/relationships/hyperlink" Target="http://var.astro.cz/oejv/issues/oejv0116.pdf" TargetMode="External"/><Relationship Id="rId4" Type="http://schemas.openxmlformats.org/officeDocument/2006/relationships/hyperlink" Target="http://www.konkoly.hu/cgi-bin/IBVS?5300" TargetMode="External"/><Relationship Id="rId9" Type="http://schemas.openxmlformats.org/officeDocument/2006/relationships/hyperlink" Target="http://www.konkoly.hu/cgi-bin/IBVS?5938" TargetMode="External"/><Relationship Id="rId14" Type="http://schemas.openxmlformats.org/officeDocument/2006/relationships/hyperlink" Target="http://vsolj.cetus-net.org/no4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1"/>
  <sheetViews>
    <sheetView tabSelected="1" workbookViewId="0">
      <pane xSplit="14" ySplit="22" topLeftCell="O65" activePane="bottomRight" state="frozen"/>
      <selection pane="topRight" activeCell="O1" sqref="O1"/>
      <selection pane="bottomLeft" activeCell="A23" sqref="A23"/>
      <selection pane="bottomRight" activeCell="E12" sqref="E12"/>
    </sheetView>
  </sheetViews>
  <sheetFormatPr defaultColWidth="10.28515625" defaultRowHeight="12.75" x14ac:dyDescent="0.2"/>
  <cols>
    <col min="1" max="1" width="16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3" t="s">
        <v>2</v>
      </c>
      <c r="C2" s="1" t="s">
        <v>3</v>
      </c>
    </row>
    <row r="4" spans="1:6" x14ac:dyDescent="0.2">
      <c r="A4" s="4" t="s">
        <v>4</v>
      </c>
      <c r="C4" s="5" t="s">
        <v>5</v>
      </c>
      <c r="D4" s="6" t="s">
        <v>5</v>
      </c>
    </row>
    <row r="5" spans="1:6" x14ac:dyDescent="0.2">
      <c r="A5" s="7" t="s">
        <v>6</v>
      </c>
      <c r="B5"/>
      <c r="C5" s="8">
        <v>-9.5</v>
      </c>
      <c r="D5" t="s">
        <v>7</v>
      </c>
    </row>
    <row r="6" spans="1:6" x14ac:dyDescent="0.2">
      <c r="A6" s="9" t="s">
        <v>8</v>
      </c>
    </row>
    <row r="7" spans="1:6" x14ac:dyDescent="0.2">
      <c r="A7" s="1" t="s">
        <v>9</v>
      </c>
      <c r="C7" s="1">
        <v>50525.643400000001</v>
      </c>
      <c r="D7" s="10" t="s">
        <v>10</v>
      </c>
    </row>
    <row r="8" spans="1:6" x14ac:dyDescent="0.2">
      <c r="A8" s="1" t="s">
        <v>11</v>
      </c>
      <c r="C8" s="1">
        <v>0.48069000000000001</v>
      </c>
      <c r="D8" s="10" t="s">
        <v>10</v>
      </c>
    </row>
    <row r="9" spans="1:6" x14ac:dyDescent="0.2">
      <c r="A9" s="11" t="s">
        <v>12</v>
      </c>
      <c r="B9" s="12">
        <v>21</v>
      </c>
      <c r="C9" s="13" t="str">
        <f>"F"&amp;B9</f>
        <v>F21</v>
      </c>
      <c r="D9" s="14" t="str">
        <f>"G"&amp;B9</f>
        <v>G21</v>
      </c>
    </row>
    <row r="10" spans="1:6" x14ac:dyDescent="0.2">
      <c r="A10"/>
      <c r="B10"/>
      <c r="C10" s="15" t="s">
        <v>13</v>
      </c>
      <c r="D10" s="15" t="s">
        <v>14</v>
      </c>
      <c r="E10"/>
    </row>
    <row r="11" spans="1:6" x14ac:dyDescent="0.2">
      <c r="A11" t="s">
        <v>15</v>
      </c>
      <c r="B11"/>
      <c r="C11" s="16">
        <f ca="1">INTERCEPT(INDIRECT($D$9):G987,INDIRECT($C$9):F987)</f>
        <v>-2.143562956601102E-3</v>
      </c>
      <c r="D11" s="17"/>
      <c r="E11"/>
    </row>
    <row r="12" spans="1:6" x14ac:dyDescent="0.2">
      <c r="A12" t="s">
        <v>16</v>
      </c>
      <c r="B12"/>
      <c r="C12" s="16">
        <f ca="1">SLOPE(INDIRECT($D$9):G987,INDIRECT($C$9):F987)</f>
        <v>-2.4303156946083533E-6</v>
      </c>
      <c r="D12" s="17"/>
      <c r="E12"/>
    </row>
    <row r="13" spans="1:6" x14ac:dyDescent="0.2">
      <c r="A13" t="s">
        <v>17</v>
      </c>
      <c r="B13"/>
      <c r="C13" s="17" t="s">
        <v>18</v>
      </c>
    </row>
    <row r="14" spans="1:6" x14ac:dyDescent="0.2">
      <c r="A14"/>
      <c r="B14"/>
      <c r="C14"/>
    </row>
    <row r="15" spans="1:6" x14ac:dyDescent="0.2">
      <c r="A15" s="18" t="s">
        <v>19</v>
      </c>
      <c r="B15"/>
      <c r="C15" s="19">
        <f ca="1">(C7+C11)+(C8+C12)*INT(MAX(F21:F3528))</f>
        <v>59699.563523862016</v>
      </c>
      <c r="E15" s="20" t="s">
        <v>20</v>
      </c>
      <c r="F15" s="8">
        <v>1</v>
      </c>
    </row>
    <row r="16" spans="1:6" x14ac:dyDescent="0.2">
      <c r="A16" s="18" t="s">
        <v>21</v>
      </c>
      <c r="B16"/>
      <c r="C16" s="19">
        <f ca="1">+C8+C12</f>
        <v>0.48068756968430537</v>
      </c>
      <c r="E16" s="20" t="s">
        <v>22</v>
      </c>
      <c r="F16" s="16">
        <f ca="1">NOW()+15018.5+$C$5/24</f>
        <v>59970.540480324074</v>
      </c>
    </row>
    <row r="17" spans="1:21" x14ac:dyDescent="0.2">
      <c r="A17" s="20" t="s">
        <v>23</v>
      </c>
      <c r="B17"/>
      <c r="C17">
        <f>COUNT(C21:C2186)</f>
        <v>60</v>
      </c>
      <c r="E17" s="20" t="s">
        <v>24</v>
      </c>
      <c r="F17" s="16">
        <f ca="1">ROUND(2*(F16-$C$7)/$C$8,0)/2+F15</f>
        <v>19649.5</v>
      </c>
    </row>
    <row r="18" spans="1:21" x14ac:dyDescent="0.2">
      <c r="A18" s="18" t="s">
        <v>25</v>
      </c>
      <c r="B18"/>
      <c r="C18" s="21">
        <f ca="1">+C15</f>
        <v>59699.563523862016</v>
      </c>
      <c r="D18" s="22">
        <f ca="1">+C16</f>
        <v>0.48068756968430537</v>
      </c>
      <c r="E18" s="20" t="s">
        <v>26</v>
      </c>
      <c r="F18" s="14">
        <f ca="1">ROUND(2*(F16-$C$15)/$C$16,0)/2+F15</f>
        <v>564.5</v>
      </c>
    </row>
    <row r="19" spans="1:21" x14ac:dyDescent="0.2">
      <c r="E19" s="20" t="s">
        <v>27</v>
      </c>
      <c r="F19" s="23">
        <f ca="1">+$C$15+$C$16*F18-15018.5-$C$5/24</f>
        <v>44952.807490282139</v>
      </c>
    </row>
    <row r="20" spans="1:21" x14ac:dyDescent="0.2">
      <c r="A20" s="15" t="s">
        <v>28</v>
      </c>
      <c r="B20" s="15" t="s">
        <v>29</v>
      </c>
      <c r="C20" s="15" t="s">
        <v>30</v>
      </c>
      <c r="D20" s="15" t="s">
        <v>31</v>
      </c>
      <c r="E20" s="15" t="s">
        <v>32</v>
      </c>
      <c r="F20" s="15" t="s">
        <v>33</v>
      </c>
      <c r="G20" s="15" t="s">
        <v>34</v>
      </c>
      <c r="H20" s="24" t="s">
        <v>35</v>
      </c>
      <c r="I20" s="24" t="s">
        <v>36</v>
      </c>
      <c r="J20" s="24" t="s">
        <v>37</v>
      </c>
      <c r="K20" s="24" t="s">
        <v>38</v>
      </c>
      <c r="L20" s="24" t="s">
        <v>39</v>
      </c>
      <c r="M20" s="24" t="s">
        <v>40</v>
      </c>
      <c r="N20" s="24" t="s">
        <v>41</v>
      </c>
      <c r="O20" s="24" t="s">
        <v>42</v>
      </c>
      <c r="P20" s="24" t="s">
        <v>43</v>
      </c>
      <c r="Q20" s="15" t="s">
        <v>44</v>
      </c>
      <c r="U20" s="25" t="s">
        <v>45</v>
      </c>
    </row>
    <row r="21" spans="1:21" x14ac:dyDescent="0.2">
      <c r="A21" s="26" t="s">
        <v>46</v>
      </c>
      <c r="B21" s="27" t="s">
        <v>47</v>
      </c>
      <c r="C21" s="28">
        <v>52725.5075</v>
      </c>
      <c r="D21" s="29"/>
      <c r="E21" s="1">
        <f t="shared" ref="E21:E52" si="0">+(C21-C$7)/C$8</f>
        <v>4576.4715305082254</v>
      </c>
      <c r="F21" s="1">
        <f t="shared" ref="F21:F52" si="1">ROUND(2*E21,0)/2</f>
        <v>4576.5</v>
      </c>
      <c r="G21" s="1">
        <f t="shared" ref="G21:G34" si="2">+C21-(C$7+F21*C$8)</f>
        <v>-1.3684999998076819E-2</v>
      </c>
      <c r="K21" s="1">
        <f t="shared" ref="K21:K31" si="3">+G21</f>
        <v>-1.3684999998076819E-2</v>
      </c>
      <c r="O21" s="1">
        <f t="shared" ref="O21:O52" ca="1" si="4">+C$11+C$12*$F21</f>
        <v>-1.3265902732976231E-2</v>
      </c>
      <c r="Q21" s="68">
        <f t="shared" ref="Q21:Q52" si="5">+C21-15018.5</f>
        <v>37707.0075</v>
      </c>
    </row>
    <row r="22" spans="1:21" x14ac:dyDescent="0.2">
      <c r="A22" s="26" t="s">
        <v>46</v>
      </c>
      <c r="B22" s="27" t="s">
        <v>47</v>
      </c>
      <c r="C22" s="28">
        <v>52727.429400000001</v>
      </c>
      <c r="D22" s="29"/>
      <c r="E22" s="1">
        <f t="shared" si="0"/>
        <v>4580.4697414133852</v>
      </c>
      <c r="F22" s="1">
        <f t="shared" si="1"/>
        <v>4580.5</v>
      </c>
      <c r="G22" s="1">
        <f t="shared" si="2"/>
        <v>-1.4544999998179264E-2</v>
      </c>
      <c r="K22" s="1">
        <f t="shared" si="3"/>
        <v>-1.4544999998179264E-2</v>
      </c>
      <c r="O22" s="1">
        <f t="shared" ca="1" si="4"/>
        <v>-1.3275623995754665E-2</v>
      </c>
      <c r="Q22" s="68">
        <f t="shared" si="5"/>
        <v>37708.929400000001</v>
      </c>
    </row>
    <row r="23" spans="1:21" x14ac:dyDescent="0.2">
      <c r="A23" s="26" t="s">
        <v>46</v>
      </c>
      <c r="B23" s="27" t="s">
        <v>48</v>
      </c>
      <c r="C23" s="28">
        <v>52732.476600000002</v>
      </c>
      <c r="D23" s="29"/>
      <c r="E23" s="1">
        <f t="shared" si="0"/>
        <v>4590.9696477979587</v>
      </c>
      <c r="F23" s="1">
        <f t="shared" si="1"/>
        <v>4591</v>
      </c>
      <c r="G23" s="1">
        <f t="shared" si="2"/>
        <v>-1.4589999998861458E-2</v>
      </c>
      <c r="K23" s="1">
        <f t="shared" si="3"/>
        <v>-1.4589999998861458E-2</v>
      </c>
      <c r="O23" s="1">
        <f t="shared" ca="1" si="4"/>
        <v>-1.3301142310548053E-2</v>
      </c>
      <c r="Q23" s="68">
        <f t="shared" si="5"/>
        <v>37713.976600000002</v>
      </c>
    </row>
    <row r="24" spans="1:21" x14ac:dyDescent="0.2">
      <c r="A24" s="26" t="s">
        <v>46</v>
      </c>
      <c r="B24" s="27" t="s">
        <v>47</v>
      </c>
      <c r="C24" s="28">
        <v>52738.484299999996</v>
      </c>
      <c r="D24" s="29"/>
      <c r="E24" s="1">
        <f t="shared" si="0"/>
        <v>4603.4677234808205</v>
      </c>
      <c r="F24" s="1">
        <f t="shared" si="1"/>
        <v>4603.5</v>
      </c>
      <c r="G24" s="1">
        <f t="shared" si="2"/>
        <v>-1.5515000006416813E-2</v>
      </c>
      <c r="K24" s="1">
        <f t="shared" si="3"/>
        <v>-1.5515000006416813E-2</v>
      </c>
      <c r="O24" s="1">
        <f t="shared" ca="1" si="4"/>
        <v>-1.3331521256730657E-2</v>
      </c>
      <c r="Q24" s="68">
        <f t="shared" si="5"/>
        <v>37719.984299999996</v>
      </c>
    </row>
    <row r="25" spans="1:21" x14ac:dyDescent="0.2">
      <c r="A25" s="26" t="s">
        <v>46</v>
      </c>
      <c r="B25" s="27" t="s">
        <v>47</v>
      </c>
      <c r="C25" s="28">
        <v>52739.446499999998</v>
      </c>
      <c r="D25" s="29"/>
      <c r="E25" s="1">
        <f t="shared" si="0"/>
        <v>4605.4694293619532</v>
      </c>
      <c r="F25" s="1">
        <f t="shared" si="1"/>
        <v>4605.5</v>
      </c>
      <c r="G25" s="1">
        <f t="shared" si="2"/>
        <v>-1.4695000005303882E-2</v>
      </c>
      <c r="K25" s="1">
        <f t="shared" si="3"/>
        <v>-1.4695000005303882E-2</v>
      </c>
      <c r="O25" s="1">
        <f t="shared" ca="1" si="4"/>
        <v>-1.3336381888119872E-2</v>
      </c>
      <c r="Q25" s="68">
        <f t="shared" si="5"/>
        <v>37720.946499999998</v>
      </c>
    </row>
    <row r="26" spans="1:21" x14ac:dyDescent="0.2">
      <c r="A26" s="26" t="s">
        <v>46</v>
      </c>
      <c r="B26" s="27" t="s">
        <v>47</v>
      </c>
      <c r="C26" s="28">
        <v>52767.3272</v>
      </c>
      <c r="D26" s="29"/>
      <c r="E26" s="1">
        <f t="shared" si="0"/>
        <v>4663.4708439950882</v>
      </c>
      <c r="F26" s="1">
        <f t="shared" si="1"/>
        <v>4663.5</v>
      </c>
      <c r="G26" s="1">
        <f t="shared" si="2"/>
        <v>-1.4015000000654254E-2</v>
      </c>
      <c r="K26" s="1">
        <f t="shared" si="3"/>
        <v>-1.4015000000654254E-2</v>
      </c>
      <c r="O26" s="1">
        <f t="shared" ca="1" si="4"/>
        <v>-1.3477340198407158E-2</v>
      </c>
      <c r="Q26" s="68">
        <f t="shared" si="5"/>
        <v>37748.8272</v>
      </c>
    </row>
    <row r="27" spans="1:21" x14ac:dyDescent="0.2">
      <c r="A27" s="26" t="s">
        <v>46</v>
      </c>
      <c r="B27" s="27" t="s">
        <v>47</v>
      </c>
      <c r="C27" s="28">
        <v>52793.284699999997</v>
      </c>
      <c r="D27" s="29"/>
      <c r="E27" s="1">
        <f t="shared" si="0"/>
        <v>4717.4713432773633</v>
      </c>
      <c r="F27" s="1">
        <f t="shared" si="1"/>
        <v>4717.5</v>
      </c>
      <c r="G27" s="1">
        <f t="shared" si="2"/>
        <v>-1.3775000006717164E-2</v>
      </c>
      <c r="K27" s="1">
        <f t="shared" si="3"/>
        <v>-1.3775000006717164E-2</v>
      </c>
      <c r="O27" s="1">
        <f t="shared" ca="1" si="4"/>
        <v>-1.3608577245916008E-2</v>
      </c>
      <c r="Q27" s="68">
        <f t="shared" si="5"/>
        <v>37774.784699999997</v>
      </c>
    </row>
    <row r="28" spans="1:21" x14ac:dyDescent="0.2">
      <c r="A28" s="26" t="s">
        <v>46</v>
      </c>
      <c r="B28" s="27" t="s">
        <v>48</v>
      </c>
      <c r="C28" s="28">
        <v>52793.523099999999</v>
      </c>
      <c r="D28" s="29"/>
      <c r="E28" s="1">
        <f t="shared" si="0"/>
        <v>4717.9672970105421</v>
      </c>
      <c r="F28" s="1">
        <f t="shared" si="1"/>
        <v>4718</v>
      </c>
      <c r="G28" s="1">
        <f t="shared" si="2"/>
        <v>-1.5720000003057066E-2</v>
      </c>
      <c r="K28" s="1">
        <f t="shared" si="3"/>
        <v>-1.5720000003057066E-2</v>
      </c>
      <c r="O28" s="1">
        <f t="shared" ca="1" si="4"/>
        <v>-1.3609792403763313E-2</v>
      </c>
      <c r="Q28" s="68">
        <f t="shared" si="5"/>
        <v>37775.023099999999</v>
      </c>
    </row>
    <row r="29" spans="1:21" x14ac:dyDescent="0.2">
      <c r="A29" s="26" t="s">
        <v>46</v>
      </c>
      <c r="B29" s="27" t="s">
        <v>48</v>
      </c>
      <c r="C29" s="28">
        <v>52795.445599999999</v>
      </c>
      <c r="D29" s="29"/>
      <c r="E29" s="1">
        <f t="shared" si="0"/>
        <v>4721.9667561214055</v>
      </c>
      <c r="F29" s="1">
        <f t="shared" si="1"/>
        <v>4722</v>
      </c>
      <c r="G29" s="1">
        <f t="shared" si="2"/>
        <v>-1.5980000003764872E-2</v>
      </c>
      <c r="K29" s="1">
        <f t="shared" si="3"/>
        <v>-1.5980000003764872E-2</v>
      </c>
      <c r="O29" s="1">
        <f t="shared" ca="1" si="4"/>
        <v>-1.3619513666541747E-2</v>
      </c>
      <c r="Q29" s="68">
        <f t="shared" si="5"/>
        <v>37776.945599999999</v>
      </c>
    </row>
    <row r="30" spans="1:21" x14ac:dyDescent="0.2">
      <c r="A30" s="1" t="s">
        <v>49</v>
      </c>
      <c r="B30" s="1" t="s">
        <v>47</v>
      </c>
      <c r="C30" s="30">
        <v>47904.7016</v>
      </c>
      <c r="D30" s="30" t="s">
        <v>18</v>
      </c>
      <c r="E30" s="1">
        <f t="shared" si="0"/>
        <v>-5452.4575089974842</v>
      </c>
      <c r="F30" s="1">
        <f t="shared" si="1"/>
        <v>-5452.5</v>
      </c>
      <c r="G30" s="1">
        <f t="shared" si="2"/>
        <v>2.042500000243308E-2</v>
      </c>
      <c r="K30" s="1">
        <f t="shared" si="3"/>
        <v>2.042500000243308E-2</v>
      </c>
      <c r="O30" s="1">
        <f t="shared" ca="1" si="4"/>
        <v>1.1107733368250943E-2</v>
      </c>
      <c r="Q30" s="68">
        <f t="shared" si="5"/>
        <v>32886.2016</v>
      </c>
    </row>
    <row r="31" spans="1:21" x14ac:dyDescent="0.2">
      <c r="A31" s="1" t="s">
        <v>49</v>
      </c>
      <c r="C31" s="30">
        <v>47905.1829</v>
      </c>
      <c r="D31" s="30"/>
      <c r="E31" s="1">
        <f t="shared" si="0"/>
        <v>-5451.4562399883525</v>
      </c>
      <c r="F31" s="1">
        <f t="shared" si="1"/>
        <v>-5451.5</v>
      </c>
      <c r="G31" s="1">
        <f t="shared" si="2"/>
        <v>2.103499999793712E-2</v>
      </c>
      <c r="K31" s="1">
        <f t="shared" si="3"/>
        <v>2.103499999793712E-2</v>
      </c>
      <c r="O31" s="1">
        <f t="shared" ca="1" si="4"/>
        <v>1.1105303052556336E-2</v>
      </c>
      <c r="Q31" s="68">
        <f t="shared" si="5"/>
        <v>32886.6829</v>
      </c>
    </row>
    <row r="32" spans="1:21" x14ac:dyDescent="0.2">
      <c r="A32" s="1" t="s">
        <v>10</v>
      </c>
      <c r="B32" s="17" t="s">
        <v>47</v>
      </c>
      <c r="C32" s="29">
        <v>50520.596100000199</v>
      </c>
      <c r="D32" s="29"/>
      <c r="E32" s="1">
        <f t="shared" si="0"/>
        <v>-10.500114418444127</v>
      </c>
      <c r="F32" s="1">
        <f t="shared" si="1"/>
        <v>-10.5</v>
      </c>
      <c r="G32" s="1">
        <f t="shared" si="2"/>
        <v>-5.4999800340738147E-5</v>
      </c>
      <c r="J32" s="1">
        <f>+G32</f>
        <v>-5.4999800340738147E-5</v>
      </c>
      <c r="O32" s="1">
        <f t="shared" ca="1" si="4"/>
        <v>-2.1180446418077145E-3</v>
      </c>
      <c r="Q32" s="68">
        <f t="shared" si="5"/>
        <v>35502.096100000199</v>
      </c>
    </row>
    <row r="33" spans="1:17" x14ac:dyDescent="0.2">
      <c r="A33" s="31" t="s">
        <v>50</v>
      </c>
      <c r="B33" s="17"/>
      <c r="C33" s="29">
        <v>53130.244599999998</v>
      </c>
      <c r="D33" s="29">
        <v>4.0000000000000002E-4</v>
      </c>
      <c r="E33" s="1">
        <f t="shared" si="0"/>
        <v>5418.463458778001</v>
      </c>
      <c r="F33" s="1">
        <f t="shared" si="1"/>
        <v>5418.5</v>
      </c>
      <c r="G33" s="1">
        <f t="shared" si="2"/>
        <v>-1.7565000001923181E-2</v>
      </c>
      <c r="K33" s="1">
        <f t="shared" ref="K33:K54" si="6">+G33</f>
        <v>-1.7565000001923181E-2</v>
      </c>
      <c r="O33" s="1">
        <f t="shared" ca="1" si="4"/>
        <v>-1.5312228547836464E-2</v>
      </c>
      <c r="Q33" s="68">
        <f t="shared" si="5"/>
        <v>38111.744599999998</v>
      </c>
    </row>
    <row r="34" spans="1:17" x14ac:dyDescent="0.2">
      <c r="A34" s="32" t="s">
        <v>51</v>
      </c>
      <c r="B34" s="33" t="s">
        <v>48</v>
      </c>
      <c r="C34" s="29">
        <v>53458.795400000003</v>
      </c>
      <c r="D34" s="29">
        <v>2.0000000000000001E-4</v>
      </c>
      <c r="E34" s="1">
        <f t="shared" si="0"/>
        <v>6101.9617632985955</v>
      </c>
      <c r="F34" s="1">
        <f t="shared" si="1"/>
        <v>6102</v>
      </c>
      <c r="G34" s="1">
        <f t="shared" si="2"/>
        <v>-1.8380000001343433E-2</v>
      </c>
      <c r="K34" s="1">
        <f t="shared" si="6"/>
        <v>-1.8380000001343433E-2</v>
      </c>
      <c r="O34" s="1">
        <f t="shared" ca="1" si="4"/>
        <v>-1.6973349325101274E-2</v>
      </c>
      <c r="Q34" s="68">
        <f t="shared" si="5"/>
        <v>38440.295400000003</v>
      </c>
    </row>
    <row r="35" spans="1:17" x14ac:dyDescent="0.2">
      <c r="A35" s="34" t="s">
        <v>10</v>
      </c>
      <c r="B35" s="35" t="s">
        <v>48</v>
      </c>
      <c r="C35" s="36">
        <v>50525.643399999943</v>
      </c>
      <c r="D35" s="36"/>
      <c r="E35" s="1">
        <f t="shared" si="0"/>
        <v>-1.2109189064359026E-10</v>
      </c>
      <c r="F35" s="1">
        <f t="shared" si="1"/>
        <v>0</v>
      </c>
      <c r="G35" s="1">
        <f t="shared" ref="G35:G54" si="7">+C35-(C$7+F35*C$8)</f>
        <v>-5.8207660913467407E-11</v>
      </c>
      <c r="K35" s="1">
        <f t="shared" si="6"/>
        <v>-5.8207660913467407E-11</v>
      </c>
      <c r="O35" s="1">
        <f t="shared" ca="1" si="4"/>
        <v>-2.143562956601102E-3</v>
      </c>
      <c r="Q35" s="68">
        <f t="shared" si="5"/>
        <v>35507.143399999943</v>
      </c>
    </row>
    <row r="36" spans="1:17" x14ac:dyDescent="0.2">
      <c r="A36" s="1" t="s">
        <v>10</v>
      </c>
      <c r="B36" s="17" t="s">
        <v>48</v>
      </c>
      <c r="C36" s="29">
        <v>50526.605099999812</v>
      </c>
      <c r="D36" s="29"/>
      <c r="E36" s="1">
        <f t="shared" si="0"/>
        <v>2.0006657093150721</v>
      </c>
      <c r="F36" s="1">
        <f t="shared" si="1"/>
        <v>2</v>
      </c>
      <c r="G36" s="1">
        <f t="shared" si="7"/>
        <v>3.199998100171797E-4</v>
      </c>
      <c r="K36" s="1">
        <f t="shared" si="6"/>
        <v>3.199998100171797E-4</v>
      </c>
      <c r="O36" s="1">
        <f t="shared" ca="1" si="4"/>
        <v>-2.1484235879903188E-3</v>
      </c>
      <c r="Q36" s="68">
        <f t="shared" si="5"/>
        <v>35508.105099999812</v>
      </c>
    </row>
    <row r="37" spans="1:17" x14ac:dyDescent="0.2">
      <c r="A37" s="1" t="s">
        <v>10</v>
      </c>
      <c r="B37" s="17" t="s">
        <v>48</v>
      </c>
      <c r="C37" s="29">
        <v>50528.527400000021</v>
      </c>
      <c r="D37" s="29"/>
      <c r="E37" s="1">
        <f t="shared" si="0"/>
        <v>5.9997087520439853</v>
      </c>
      <c r="F37" s="1">
        <f t="shared" si="1"/>
        <v>6</v>
      </c>
      <c r="G37" s="1">
        <f t="shared" si="7"/>
        <v>-1.3999998191138729E-4</v>
      </c>
      <c r="K37" s="1">
        <f t="shared" si="6"/>
        <v>-1.3999998191138729E-4</v>
      </c>
      <c r="O37" s="1">
        <f t="shared" ca="1" si="4"/>
        <v>-2.1581448507687522E-3</v>
      </c>
      <c r="Q37" s="68">
        <f t="shared" si="5"/>
        <v>35510.027400000021</v>
      </c>
    </row>
    <row r="38" spans="1:17" x14ac:dyDescent="0.2">
      <c r="A38" s="1" t="s">
        <v>52</v>
      </c>
      <c r="B38" s="33" t="s">
        <v>47</v>
      </c>
      <c r="C38" s="29">
        <v>52405.368900000001</v>
      </c>
      <c r="D38" s="29">
        <v>2.0000000000000001E-4</v>
      </c>
      <c r="E38" s="1">
        <f t="shared" si="0"/>
        <v>3910.4734860304989</v>
      </c>
      <c r="F38" s="1">
        <f t="shared" si="1"/>
        <v>3910.5</v>
      </c>
      <c r="G38" s="1">
        <f t="shared" si="7"/>
        <v>-1.2744999999995343E-2</v>
      </c>
      <c r="K38" s="1">
        <f t="shared" si="6"/>
        <v>-1.2744999999995343E-2</v>
      </c>
      <c r="O38" s="1">
        <f t="shared" ca="1" si="4"/>
        <v>-1.1647312480367067E-2</v>
      </c>
      <c r="Q38" s="68">
        <f t="shared" si="5"/>
        <v>37386.868900000001</v>
      </c>
    </row>
    <row r="39" spans="1:17" x14ac:dyDescent="0.2">
      <c r="A39" s="1" t="s">
        <v>52</v>
      </c>
      <c r="B39" s="33" t="s">
        <v>48</v>
      </c>
      <c r="C39" s="29">
        <v>52424.3554</v>
      </c>
      <c r="D39" s="29">
        <v>5.0000000000000001E-4</v>
      </c>
      <c r="E39" s="1">
        <f t="shared" si="0"/>
        <v>3949.9719153716524</v>
      </c>
      <c r="F39" s="1">
        <f t="shared" si="1"/>
        <v>3950</v>
      </c>
      <c r="G39" s="1">
        <f t="shared" si="7"/>
        <v>-1.3500000000931323E-2</v>
      </c>
      <c r="K39" s="1">
        <f t="shared" si="6"/>
        <v>-1.3500000000931323E-2</v>
      </c>
      <c r="O39" s="1">
        <f t="shared" ca="1" si="4"/>
        <v>-1.1743309950304098E-2</v>
      </c>
      <c r="Q39" s="68">
        <f t="shared" si="5"/>
        <v>37405.8554</v>
      </c>
    </row>
    <row r="40" spans="1:17" x14ac:dyDescent="0.2">
      <c r="A40" s="1" t="s">
        <v>52</v>
      </c>
      <c r="B40" s="33" t="s">
        <v>48</v>
      </c>
      <c r="C40" s="29">
        <v>52450.314899999998</v>
      </c>
      <c r="D40" s="29">
        <v>2.9999999999999997E-4</v>
      </c>
      <c r="E40" s="1">
        <f t="shared" si="0"/>
        <v>4003.9765753396091</v>
      </c>
      <c r="F40" s="1">
        <f t="shared" si="1"/>
        <v>4004</v>
      </c>
      <c r="G40" s="1">
        <f t="shared" si="7"/>
        <v>-1.1260000006586779E-2</v>
      </c>
      <c r="K40" s="1">
        <f t="shared" si="6"/>
        <v>-1.1260000006586779E-2</v>
      </c>
      <c r="O40" s="1">
        <f t="shared" ca="1" si="4"/>
        <v>-1.1874546997812948E-2</v>
      </c>
      <c r="Q40" s="68">
        <f t="shared" si="5"/>
        <v>37431.814899999998</v>
      </c>
    </row>
    <row r="41" spans="1:17" x14ac:dyDescent="0.2">
      <c r="A41" s="1" t="s">
        <v>52</v>
      </c>
      <c r="B41" s="33" t="s">
        <v>48</v>
      </c>
      <c r="C41" s="29">
        <v>52461.366699999999</v>
      </c>
      <c r="D41" s="29">
        <v>1E-4</v>
      </c>
      <c r="E41" s="1">
        <f t="shared" si="0"/>
        <v>4026.9681083442506</v>
      </c>
      <c r="F41" s="1">
        <f t="shared" si="1"/>
        <v>4027</v>
      </c>
      <c r="G41" s="1">
        <f t="shared" si="7"/>
        <v>-1.5330000001995359E-2</v>
      </c>
      <c r="K41" s="1">
        <f t="shared" si="6"/>
        <v>-1.5330000001995359E-2</v>
      </c>
      <c r="O41" s="1">
        <f t="shared" ca="1" si="4"/>
        <v>-1.193044425878894E-2</v>
      </c>
      <c r="Q41" s="68">
        <f t="shared" si="5"/>
        <v>37442.866699999999</v>
      </c>
    </row>
    <row r="42" spans="1:17" x14ac:dyDescent="0.2">
      <c r="A42" s="1" t="s">
        <v>52</v>
      </c>
      <c r="B42" s="33" t="s">
        <v>48</v>
      </c>
      <c r="C42" s="29">
        <v>52462.33</v>
      </c>
      <c r="D42" s="29">
        <v>4.0000000000000002E-4</v>
      </c>
      <c r="E42" s="1">
        <f t="shared" si="0"/>
        <v>4028.9721026025109</v>
      </c>
      <c r="F42" s="1">
        <f t="shared" si="1"/>
        <v>4029</v>
      </c>
      <c r="G42" s="1">
        <f t="shared" si="7"/>
        <v>-1.3409999999566935E-2</v>
      </c>
      <c r="K42" s="1">
        <f t="shared" si="6"/>
        <v>-1.3409999999566935E-2</v>
      </c>
      <c r="O42" s="1">
        <f t="shared" ca="1" si="4"/>
        <v>-1.1935304890178158E-2</v>
      </c>
      <c r="Q42" s="68">
        <f t="shared" si="5"/>
        <v>37443.83</v>
      </c>
    </row>
    <row r="43" spans="1:17" x14ac:dyDescent="0.2">
      <c r="A43" s="37" t="s">
        <v>53</v>
      </c>
      <c r="B43" s="38" t="s">
        <v>47</v>
      </c>
      <c r="C43" s="39">
        <v>52725.5075</v>
      </c>
      <c r="D43" s="39">
        <v>2.9999999999999997E-4</v>
      </c>
      <c r="E43" s="1">
        <f t="shared" si="0"/>
        <v>4576.4715305082254</v>
      </c>
      <c r="F43" s="1">
        <f t="shared" si="1"/>
        <v>4576.5</v>
      </c>
      <c r="G43" s="1">
        <f t="shared" si="7"/>
        <v>-1.3684999998076819E-2</v>
      </c>
      <c r="K43" s="1">
        <f t="shared" si="6"/>
        <v>-1.3684999998076819E-2</v>
      </c>
      <c r="O43" s="1">
        <f t="shared" ca="1" si="4"/>
        <v>-1.3265902732976231E-2</v>
      </c>
      <c r="Q43" s="68">
        <f t="shared" si="5"/>
        <v>37707.0075</v>
      </c>
    </row>
    <row r="44" spans="1:17" x14ac:dyDescent="0.2">
      <c r="A44" s="37" t="s">
        <v>53</v>
      </c>
      <c r="B44" s="38" t="s">
        <v>47</v>
      </c>
      <c r="C44" s="39">
        <v>52727.429400000001</v>
      </c>
      <c r="D44" s="39">
        <v>2.9999999999999997E-4</v>
      </c>
      <c r="E44" s="1">
        <f t="shared" si="0"/>
        <v>4580.4697414133852</v>
      </c>
      <c r="F44" s="1">
        <f t="shared" si="1"/>
        <v>4580.5</v>
      </c>
      <c r="G44" s="1">
        <f t="shared" si="7"/>
        <v>-1.4544999998179264E-2</v>
      </c>
      <c r="K44" s="1">
        <f t="shared" si="6"/>
        <v>-1.4544999998179264E-2</v>
      </c>
      <c r="O44" s="1">
        <f t="shared" ca="1" si="4"/>
        <v>-1.3275623995754665E-2</v>
      </c>
      <c r="Q44" s="68">
        <f t="shared" si="5"/>
        <v>37708.929400000001</v>
      </c>
    </row>
    <row r="45" spans="1:17" x14ac:dyDescent="0.2">
      <c r="A45" s="37" t="s">
        <v>53</v>
      </c>
      <c r="B45" s="38" t="s">
        <v>48</v>
      </c>
      <c r="C45" s="39">
        <v>52732.476600000002</v>
      </c>
      <c r="D45" s="39">
        <v>2.9999999999999997E-4</v>
      </c>
      <c r="E45" s="1">
        <f t="shared" si="0"/>
        <v>4590.9696477979587</v>
      </c>
      <c r="F45" s="1">
        <f t="shared" si="1"/>
        <v>4591</v>
      </c>
      <c r="G45" s="1">
        <f t="shared" si="7"/>
        <v>-1.4589999998861458E-2</v>
      </c>
      <c r="K45" s="1">
        <f t="shared" si="6"/>
        <v>-1.4589999998861458E-2</v>
      </c>
      <c r="O45" s="1">
        <f t="shared" ca="1" si="4"/>
        <v>-1.3301142310548053E-2</v>
      </c>
      <c r="Q45" s="68">
        <f t="shared" si="5"/>
        <v>37713.976600000002</v>
      </c>
    </row>
    <row r="46" spans="1:17" x14ac:dyDescent="0.2">
      <c r="A46" s="37" t="s">
        <v>53</v>
      </c>
      <c r="B46" s="38" t="s">
        <v>47</v>
      </c>
      <c r="C46" s="39">
        <v>52738.484299999996</v>
      </c>
      <c r="D46" s="39">
        <v>4.0000000000000002E-4</v>
      </c>
      <c r="E46" s="1">
        <f t="shared" si="0"/>
        <v>4603.4677234808205</v>
      </c>
      <c r="F46" s="1">
        <f t="shared" si="1"/>
        <v>4603.5</v>
      </c>
      <c r="G46" s="1">
        <f t="shared" si="7"/>
        <v>-1.5515000006416813E-2</v>
      </c>
      <c r="K46" s="1">
        <f t="shared" si="6"/>
        <v>-1.5515000006416813E-2</v>
      </c>
      <c r="O46" s="1">
        <f t="shared" ca="1" si="4"/>
        <v>-1.3331521256730657E-2</v>
      </c>
      <c r="Q46" s="68">
        <f t="shared" si="5"/>
        <v>37719.984299999996</v>
      </c>
    </row>
    <row r="47" spans="1:17" x14ac:dyDescent="0.2">
      <c r="A47" s="37" t="s">
        <v>53</v>
      </c>
      <c r="B47" s="38" t="s">
        <v>47</v>
      </c>
      <c r="C47" s="39">
        <v>52739.446499999998</v>
      </c>
      <c r="D47" s="39">
        <v>5.9999999999999995E-4</v>
      </c>
      <c r="E47" s="1">
        <f t="shared" si="0"/>
        <v>4605.4694293619532</v>
      </c>
      <c r="F47" s="1">
        <f t="shared" si="1"/>
        <v>4605.5</v>
      </c>
      <c r="G47" s="1">
        <f t="shared" si="7"/>
        <v>-1.4695000005303882E-2</v>
      </c>
      <c r="K47" s="1">
        <f t="shared" si="6"/>
        <v>-1.4695000005303882E-2</v>
      </c>
      <c r="O47" s="1">
        <f t="shared" ca="1" si="4"/>
        <v>-1.3336381888119872E-2</v>
      </c>
      <c r="Q47" s="68">
        <f t="shared" si="5"/>
        <v>37720.946499999998</v>
      </c>
    </row>
    <row r="48" spans="1:17" x14ac:dyDescent="0.2">
      <c r="A48" s="37" t="s">
        <v>53</v>
      </c>
      <c r="B48" s="38" t="s">
        <v>47</v>
      </c>
      <c r="C48" s="39">
        <v>52767.3272</v>
      </c>
      <c r="D48" s="39">
        <v>4.0000000000000002E-4</v>
      </c>
      <c r="E48" s="1">
        <f t="shared" si="0"/>
        <v>4663.4708439950882</v>
      </c>
      <c r="F48" s="1">
        <f t="shared" si="1"/>
        <v>4663.5</v>
      </c>
      <c r="G48" s="1">
        <f t="shared" si="7"/>
        <v>-1.4015000000654254E-2</v>
      </c>
      <c r="K48" s="1">
        <f t="shared" si="6"/>
        <v>-1.4015000000654254E-2</v>
      </c>
      <c r="O48" s="1">
        <f t="shared" ca="1" si="4"/>
        <v>-1.3477340198407158E-2</v>
      </c>
      <c r="Q48" s="68">
        <f t="shared" si="5"/>
        <v>37748.8272</v>
      </c>
    </row>
    <row r="49" spans="1:21" x14ac:dyDescent="0.2">
      <c r="A49" s="37" t="s">
        <v>53</v>
      </c>
      <c r="B49" s="38" t="s">
        <v>47</v>
      </c>
      <c r="C49" s="39">
        <v>52793.284699999997</v>
      </c>
      <c r="D49" s="39">
        <v>6.9999999999999999E-4</v>
      </c>
      <c r="E49" s="1">
        <f t="shared" si="0"/>
        <v>4717.4713432773633</v>
      </c>
      <c r="F49" s="1">
        <f t="shared" si="1"/>
        <v>4717.5</v>
      </c>
      <c r="G49" s="1">
        <f t="shared" si="7"/>
        <v>-1.3775000006717164E-2</v>
      </c>
      <c r="K49" s="1">
        <f t="shared" si="6"/>
        <v>-1.3775000006717164E-2</v>
      </c>
      <c r="O49" s="1">
        <f t="shared" ca="1" si="4"/>
        <v>-1.3608577245916008E-2</v>
      </c>
      <c r="Q49" s="68">
        <f t="shared" si="5"/>
        <v>37774.784699999997</v>
      </c>
    </row>
    <row r="50" spans="1:21" x14ac:dyDescent="0.2">
      <c r="A50" s="37" t="s">
        <v>53</v>
      </c>
      <c r="B50" s="38" t="s">
        <v>48</v>
      </c>
      <c r="C50" s="39">
        <v>52793.523099999999</v>
      </c>
      <c r="D50" s="39">
        <v>2.9999999999999997E-4</v>
      </c>
      <c r="E50" s="1">
        <f t="shared" si="0"/>
        <v>4717.9672970105421</v>
      </c>
      <c r="F50" s="1">
        <f t="shared" si="1"/>
        <v>4718</v>
      </c>
      <c r="G50" s="1">
        <f t="shared" si="7"/>
        <v>-1.5720000003057066E-2</v>
      </c>
      <c r="K50" s="1">
        <f t="shared" si="6"/>
        <v>-1.5720000003057066E-2</v>
      </c>
      <c r="O50" s="1">
        <f t="shared" ca="1" si="4"/>
        <v>-1.3609792403763313E-2</v>
      </c>
      <c r="Q50" s="68">
        <f t="shared" si="5"/>
        <v>37775.023099999999</v>
      </c>
    </row>
    <row r="51" spans="1:21" x14ac:dyDescent="0.2">
      <c r="A51" s="37" t="s">
        <v>53</v>
      </c>
      <c r="B51" s="38" t="s">
        <v>48</v>
      </c>
      <c r="C51" s="39">
        <v>52795.445599999999</v>
      </c>
      <c r="D51" s="39">
        <v>5.9999999999999995E-4</v>
      </c>
      <c r="E51" s="1">
        <f t="shared" si="0"/>
        <v>4721.9667561214055</v>
      </c>
      <c r="F51" s="1">
        <f t="shared" si="1"/>
        <v>4722</v>
      </c>
      <c r="G51" s="1">
        <f t="shared" si="7"/>
        <v>-1.5980000003764872E-2</v>
      </c>
      <c r="K51" s="1">
        <f t="shared" si="6"/>
        <v>-1.5980000003764872E-2</v>
      </c>
      <c r="O51" s="1">
        <f t="shared" ca="1" si="4"/>
        <v>-1.3619513666541747E-2</v>
      </c>
      <c r="Q51" s="68">
        <f t="shared" si="5"/>
        <v>37776.945599999999</v>
      </c>
    </row>
    <row r="52" spans="1:21" x14ac:dyDescent="0.2">
      <c r="A52" s="26" t="s">
        <v>54</v>
      </c>
      <c r="B52" s="27" t="s">
        <v>47</v>
      </c>
      <c r="C52" s="28">
        <v>54136.323900000003</v>
      </c>
      <c r="D52" s="29"/>
      <c r="E52" s="1">
        <f t="shared" si="0"/>
        <v>7511.4533275083777</v>
      </c>
      <c r="F52" s="1">
        <f t="shared" si="1"/>
        <v>7511.5</v>
      </c>
      <c r="G52" s="1">
        <f t="shared" si="7"/>
        <v>-2.2434999998949934E-2</v>
      </c>
      <c r="K52" s="1">
        <f t="shared" si="6"/>
        <v>-2.2434999998949934E-2</v>
      </c>
      <c r="O52" s="1">
        <f t="shared" ca="1" si="4"/>
        <v>-2.0398879296651747E-2</v>
      </c>
      <c r="Q52" s="68">
        <f t="shared" si="5"/>
        <v>39117.823900000003</v>
      </c>
    </row>
    <row r="53" spans="1:21" x14ac:dyDescent="0.2">
      <c r="A53" s="40" t="s">
        <v>55</v>
      </c>
      <c r="B53" s="41" t="s">
        <v>48</v>
      </c>
      <c r="C53" s="40">
        <v>54159.635999999999</v>
      </c>
      <c r="D53" s="40">
        <v>3.0000000000000001E-3</v>
      </c>
      <c r="E53" s="1">
        <f t="shared" ref="E53:E74" si="8">+(C53-C$7)/C$8</f>
        <v>7559.9504878403914</v>
      </c>
      <c r="F53" s="1">
        <f t="shared" ref="F53:F77" si="9">ROUND(2*E53,0)/2</f>
        <v>7560</v>
      </c>
      <c r="G53" s="1">
        <f t="shared" si="7"/>
        <v>-2.3800000002665911E-2</v>
      </c>
      <c r="K53" s="1">
        <f t="shared" si="6"/>
        <v>-2.3800000002665911E-2</v>
      </c>
      <c r="O53" s="1">
        <f t="shared" ref="O53:O74" ca="1" si="10">+C$11+C$12*$F53</f>
        <v>-2.0516749607840251E-2</v>
      </c>
      <c r="Q53" s="68">
        <f t="shared" ref="Q53:Q74" si="11">+C53-15018.5</f>
        <v>39141.135999999999</v>
      </c>
    </row>
    <row r="54" spans="1:21" x14ac:dyDescent="0.2">
      <c r="A54" s="26" t="s">
        <v>54</v>
      </c>
      <c r="B54" s="27" t="s">
        <v>48</v>
      </c>
      <c r="C54" s="28">
        <v>54223.090100000001</v>
      </c>
      <c r="D54" s="29"/>
      <c r="E54" s="1">
        <f t="shared" si="8"/>
        <v>7691.9567704757756</v>
      </c>
      <c r="F54" s="1">
        <f t="shared" si="9"/>
        <v>7692</v>
      </c>
      <c r="G54" s="1">
        <f t="shared" si="7"/>
        <v>-2.0779999998921994E-2</v>
      </c>
      <c r="K54" s="1">
        <f t="shared" si="6"/>
        <v>-2.0779999998921994E-2</v>
      </c>
      <c r="O54" s="1">
        <f t="shared" ca="1" si="10"/>
        <v>-2.0837551279528556E-2</v>
      </c>
      <c r="Q54" s="68">
        <f t="shared" si="11"/>
        <v>39204.590100000001</v>
      </c>
    </row>
    <row r="55" spans="1:21" x14ac:dyDescent="0.2">
      <c r="A55" s="40" t="s">
        <v>56</v>
      </c>
      <c r="B55" s="41" t="s">
        <v>48</v>
      </c>
      <c r="C55" s="40">
        <v>54926.821000000004</v>
      </c>
      <c r="D55" s="40">
        <v>1E-3</v>
      </c>
      <c r="E55" s="1">
        <f t="shared" si="8"/>
        <v>9155.9583099294814</v>
      </c>
      <c r="F55" s="1">
        <f t="shared" si="9"/>
        <v>9156</v>
      </c>
      <c r="O55" s="1">
        <f t="shared" ca="1" si="10"/>
        <v>-2.4395533456435185E-2</v>
      </c>
      <c r="Q55" s="68">
        <f t="shared" si="11"/>
        <v>39908.321000000004</v>
      </c>
      <c r="U55" s="14">
        <v>-2.0039999995788094E-2</v>
      </c>
    </row>
    <row r="56" spans="1:21" x14ac:dyDescent="0.2">
      <c r="A56" s="42" t="s">
        <v>57</v>
      </c>
      <c r="B56" s="43" t="s">
        <v>48</v>
      </c>
      <c r="C56" s="44">
        <v>55000.358999999997</v>
      </c>
      <c r="D56" s="45">
        <v>0.01</v>
      </c>
      <c r="E56" s="1">
        <f t="shared" si="8"/>
        <v>9308.9425617341658</v>
      </c>
      <c r="F56" s="1">
        <f t="shared" si="9"/>
        <v>9309</v>
      </c>
      <c r="G56" s="1">
        <f t="shared" ref="G56:G74" si="12">+C56-(C$7+F56*C$8)</f>
        <v>-2.7610000004642643E-2</v>
      </c>
      <c r="I56" s="1">
        <f>+G56</f>
        <v>-2.7610000004642643E-2</v>
      </c>
      <c r="O56" s="1">
        <f t="shared" ca="1" si="10"/>
        <v>-2.4767371757710262E-2</v>
      </c>
      <c r="Q56" s="68">
        <f t="shared" si="11"/>
        <v>39981.858999999997</v>
      </c>
    </row>
    <row r="57" spans="1:21" x14ac:dyDescent="0.2">
      <c r="A57" s="26" t="s">
        <v>58</v>
      </c>
      <c r="B57" s="27" t="s">
        <v>48</v>
      </c>
      <c r="C57" s="28">
        <v>55332.995900000002</v>
      </c>
      <c r="D57" s="29"/>
      <c r="E57" s="1">
        <f t="shared" si="8"/>
        <v>10000.941355135328</v>
      </c>
      <c r="F57" s="1">
        <f t="shared" si="9"/>
        <v>10001</v>
      </c>
      <c r="G57" s="1">
        <f t="shared" si="12"/>
        <v>-2.8189999997266568E-2</v>
      </c>
      <c r="K57" s="1">
        <f t="shared" ref="K57:K64" si="13">+G57</f>
        <v>-2.8189999997266568E-2</v>
      </c>
      <c r="O57" s="1">
        <f t="shared" ca="1" si="10"/>
        <v>-2.6449150218379243E-2</v>
      </c>
      <c r="Q57" s="68">
        <f t="shared" si="11"/>
        <v>40314.495900000002</v>
      </c>
    </row>
    <row r="58" spans="1:21" x14ac:dyDescent="0.2">
      <c r="A58" s="46" t="s">
        <v>59</v>
      </c>
      <c r="B58" s="47" t="s">
        <v>48</v>
      </c>
      <c r="C58" s="46">
        <v>56782.510999999999</v>
      </c>
      <c r="D58" s="46">
        <v>3.0000000000000001E-3</v>
      </c>
      <c r="E58" s="1">
        <f t="shared" si="8"/>
        <v>13016.429715617129</v>
      </c>
      <c r="F58" s="1">
        <f t="shared" si="9"/>
        <v>13016.5</v>
      </c>
      <c r="G58" s="1">
        <f t="shared" si="12"/>
        <v>-3.3784999999625143E-2</v>
      </c>
      <c r="K58" s="1">
        <f t="shared" si="13"/>
        <v>-3.3784999999625143E-2</v>
      </c>
      <c r="O58" s="1">
        <f t="shared" ca="1" si="10"/>
        <v>-3.3777767195470737E-2</v>
      </c>
      <c r="Q58" s="68">
        <f t="shared" si="11"/>
        <v>41764.010999999999</v>
      </c>
    </row>
    <row r="59" spans="1:21" x14ac:dyDescent="0.2">
      <c r="A59" s="48" t="s">
        <v>60</v>
      </c>
      <c r="B59" s="49" t="s">
        <v>48</v>
      </c>
      <c r="C59" s="48">
        <v>56787.074299999978</v>
      </c>
      <c r="D59" s="48" t="s">
        <v>61</v>
      </c>
      <c r="E59" s="1">
        <f t="shared" si="8"/>
        <v>13025.922944101141</v>
      </c>
      <c r="F59" s="1">
        <f t="shared" si="9"/>
        <v>13026</v>
      </c>
      <c r="G59" s="1">
        <f t="shared" si="12"/>
        <v>-3.7040000024717301E-2</v>
      </c>
      <c r="K59" s="1">
        <f t="shared" si="13"/>
        <v>-3.7040000024717301E-2</v>
      </c>
      <c r="O59" s="1">
        <f t="shared" ca="1" si="10"/>
        <v>-3.3800855194569518E-2</v>
      </c>
      <c r="Q59" s="68">
        <f t="shared" si="11"/>
        <v>41768.574299999978</v>
      </c>
    </row>
    <row r="60" spans="1:21" x14ac:dyDescent="0.2">
      <c r="A60" s="26" t="s">
        <v>62</v>
      </c>
      <c r="B60" s="27" t="s">
        <v>48</v>
      </c>
      <c r="C60" s="28">
        <v>56787.0743</v>
      </c>
      <c r="D60" s="29"/>
      <c r="E60" s="1">
        <f t="shared" si="8"/>
        <v>13025.922944101187</v>
      </c>
      <c r="F60" s="1">
        <f t="shared" si="9"/>
        <v>13026</v>
      </c>
      <c r="G60" s="1">
        <f t="shared" si="12"/>
        <v>-3.7040000002889428E-2</v>
      </c>
      <c r="K60" s="1">
        <f t="shared" si="13"/>
        <v>-3.7040000002889428E-2</v>
      </c>
      <c r="O60" s="1">
        <f t="shared" ca="1" si="10"/>
        <v>-3.3800855194569518E-2</v>
      </c>
      <c r="Q60" s="68">
        <f t="shared" si="11"/>
        <v>41768.5743</v>
      </c>
    </row>
    <row r="61" spans="1:21" x14ac:dyDescent="0.2">
      <c r="A61" s="48" t="s">
        <v>60</v>
      </c>
      <c r="B61" s="49" t="s">
        <v>48</v>
      </c>
      <c r="C61" s="48">
        <v>56787.075199999847</v>
      </c>
      <c r="D61" s="48" t="s">
        <v>63</v>
      </c>
      <c r="E61" s="1">
        <f t="shared" si="8"/>
        <v>13025.924816409422</v>
      </c>
      <c r="F61" s="1">
        <f t="shared" si="9"/>
        <v>13026</v>
      </c>
      <c r="G61" s="1">
        <f t="shared" si="12"/>
        <v>-3.6140000156592578E-2</v>
      </c>
      <c r="K61" s="1">
        <f t="shared" si="13"/>
        <v>-3.6140000156592578E-2</v>
      </c>
      <c r="O61" s="1">
        <f t="shared" ca="1" si="10"/>
        <v>-3.3800855194569518E-2</v>
      </c>
      <c r="Q61" s="68">
        <f t="shared" si="11"/>
        <v>41768.575199999847</v>
      </c>
    </row>
    <row r="62" spans="1:21" x14ac:dyDescent="0.2">
      <c r="A62" s="26" t="s">
        <v>62</v>
      </c>
      <c r="B62" s="27" t="s">
        <v>48</v>
      </c>
      <c r="C62" s="28">
        <v>56787.075199999999</v>
      </c>
      <c r="D62" s="29"/>
      <c r="E62" s="1">
        <f t="shared" si="8"/>
        <v>13025.924816409741</v>
      </c>
      <c r="F62" s="1">
        <f t="shared" si="9"/>
        <v>13026</v>
      </c>
      <c r="G62" s="1">
        <f t="shared" si="12"/>
        <v>-3.6140000003797468E-2</v>
      </c>
      <c r="K62" s="1">
        <f t="shared" si="13"/>
        <v>-3.6140000003797468E-2</v>
      </c>
      <c r="O62" s="1">
        <f t="shared" ca="1" si="10"/>
        <v>-3.3800855194569518E-2</v>
      </c>
      <c r="Q62" s="68">
        <f t="shared" si="11"/>
        <v>41768.575199999999</v>
      </c>
    </row>
    <row r="63" spans="1:21" x14ac:dyDescent="0.2">
      <c r="A63" s="26" t="s">
        <v>62</v>
      </c>
      <c r="B63" s="27" t="s">
        <v>48</v>
      </c>
      <c r="C63" s="28">
        <v>56787.076200000003</v>
      </c>
      <c r="D63" s="29"/>
      <c r="E63" s="1">
        <f t="shared" si="8"/>
        <v>13025.92689675259</v>
      </c>
      <c r="F63" s="1">
        <f t="shared" si="9"/>
        <v>13026</v>
      </c>
      <c r="G63" s="1">
        <f t="shared" si="12"/>
        <v>-3.5139999999955762E-2</v>
      </c>
      <c r="K63" s="1">
        <f t="shared" si="13"/>
        <v>-3.5139999999955762E-2</v>
      </c>
      <c r="O63" s="1">
        <f t="shared" ca="1" si="10"/>
        <v>-3.3800855194569518E-2</v>
      </c>
      <c r="Q63" s="68">
        <f t="shared" si="11"/>
        <v>41768.576200000003</v>
      </c>
    </row>
    <row r="64" spans="1:21" x14ac:dyDescent="0.2">
      <c r="A64" s="48" t="s">
        <v>60</v>
      </c>
      <c r="B64" s="49" t="s">
        <v>48</v>
      </c>
      <c r="C64" s="48">
        <v>56787.07620000001</v>
      </c>
      <c r="D64" s="48" t="s">
        <v>64</v>
      </c>
      <c r="E64" s="1">
        <f t="shared" si="8"/>
        <v>13025.926896752604</v>
      </c>
      <c r="F64" s="1">
        <f t="shared" si="9"/>
        <v>13026</v>
      </c>
      <c r="G64" s="1">
        <f t="shared" si="12"/>
        <v>-3.5139999992679805E-2</v>
      </c>
      <c r="K64" s="1">
        <f t="shared" si="13"/>
        <v>-3.5139999992679805E-2</v>
      </c>
      <c r="O64" s="1">
        <f t="shared" ca="1" si="10"/>
        <v>-3.3800855194569518E-2</v>
      </c>
      <c r="Q64" s="68">
        <f t="shared" si="11"/>
        <v>41768.57620000001</v>
      </c>
    </row>
    <row r="65" spans="1:17" x14ac:dyDescent="0.2">
      <c r="A65" s="50" t="s">
        <v>65</v>
      </c>
      <c r="B65" s="43" t="s">
        <v>48</v>
      </c>
      <c r="C65" s="45">
        <v>57033.669000000002</v>
      </c>
      <c r="D65" s="45">
        <v>5.0000000000000001E-3</v>
      </c>
      <c r="E65" s="1">
        <f t="shared" si="8"/>
        <v>13538.924462751464</v>
      </c>
      <c r="F65" s="1">
        <f t="shared" si="9"/>
        <v>13539</v>
      </c>
      <c r="G65" s="1">
        <f t="shared" si="12"/>
        <v>-3.6310000003140885E-2</v>
      </c>
      <c r="I65" s="1">
        <f>+G65</f>
        <v>-3.6310000003140885E-2</v>
      </c>
      <c r="O65" s="1">
        <f t="shared" ca="1" si="10"/>
        <v>-3.5047607145903603E-2</v>
      </c>
      <c r="Q65" s="68">
        <f t="shared" si="11"/>
        <v>42015.169000000002</v>
      </c>
    </row>
    <row r="66" spans="1:17" x14ac:dyDescent="0.2">
      <c r="A66" s="37" t="s">
        <v>66</v>
      </c>
      <c r="B66" s="38" t="s">
        <v>48</v>
      </c>
      <c r="C66" s="39">
        <v>57133.4113</v>
      </c>
      <c r="D66" s="39">
        <v>6.3E-3</v>
      </c>
      <c r="E66" s="1">
        <f t="shared" si="8"/>
        <v>13746.422642451473</v>
      </c>
      <c r="F66" s="1">
        <f t="shared" si="9"/>
        <v>13746.5</v>
      </c>
      <c r="G66" s="1">
        <f t="shared" si="12"/>
        <v>-3.718500000104541E-2</v>
      </c>
      <c r="K66" s="1">
        <f t="shared" ref="K66:K74" si="14">+G66</f>
        <v>-3.718500000104541E-2</v>
      </c>
      <c r="O66" s="1">
        <f t="shared" ca="1" si="10"/>
        <v>-3.5551897652534831E-2</v>
      </c>
      <c r="Q66" s="68">
        <f t="shared" si="11"/>
        <v>42114.9113</v>
      </c>
    </row>
    <row r="67" spans="1:17" x14ac:dyDescent="0.2">
      <c r="A67" s="51" t="s">
        <v>67</v>
      </c>
      <c r="B67" s="52" t="s">
        <v>48</v>
      </c>
      <c r="C67" s="51">
        <v>57180.761200000001</v>
      </c>
      <c r="D67" s="51">
        <v>1E-4</v>
      </c>
      <c r="E67" s="1">
        <f t="shared" si="8"/>
        <v>13844.926667914871</v>
      </c>
      <c r="F67" s="1">
        <f t="shared" si="9"/>
        <v>13845</v>
      </c>
      <c r="G67" s="1">
        <f t="shared" si="12"/>
        <v>-3.5250000000814907E-2</v>
      </c>
      <c r="K67" s="1">
        <f t="shared" si="14"/>
        <v>-3.5250000000814907E-2</v>
      </c>
      <c r="O67" s="1">
        <f t="shared" ca="1" si="10"/>
        <v>-3.579128374845375E-2</v>
      </c>
      <c r="Q67" s="68">
        <f t="shared" si="11"/>
        <v>42162.261200000001</v>
      </c>
    </row>
    <row r="68" spans="1:17" x14ac:dyDescent="0.2">
      <c r="A68" s="51" t="s">
        <v>68</v>
      </c>
      <c r="B68" s="52" t="s">
        <v>48</v>
      </c>
      <c r="C68" s="51">
        <v>57517.723100000003</v>
      </c>
      <c r="D68" s="51">
        <v>2.0000000000000001E-4</v>
      </c>
      <c r="E68" s="1">
        <f t="shared" si="8"/>
        <v>14545.922944101192</v>
      </c>
      <c r="F68" s="1">
        <f t="shared" si="9"/>
        <v>14546</v>
      </c>
      <c r="G68" s="1">
        <f t="shared" si="12"/>
        <v>-3.7039999995613471E-2</v>
      </c>
      <c r="K68" s="1">
        <f t="shared" si="14"/>
        <v>-3.7039999995613471E-2</v>
      </c>
      <c r="O68" s="1">
        <f t="shared" ca="1" si="10"/>
        <v>-3.7494935050374212E-2</v>
      </c>
      <c r="Q68" s="68">
        <f t="shared" si="11"/>
        <v>42499.223100000003</v>
      </c>
    </row>
    <row r="69" spans="1:17" x14ac:dyDescent="0.2">
      <c r="A69" s="37" t="s">
        <v>66</v>
      </c>
      <c r="B69" s="38" t="s">
        <v>48</v>
      </c>
      <c r="C69" s="39">
        <v>57518.443500000001</v>
      </c>
      <c r="D69" s="39">
        <v>1.1000000000000001E-3</v>
      </c>
      <c r="E69" s="1">
        <f t="shared" si="8"/>
        <v>14547.421623083485</v>
      </c>
      <c r="F69" s="1">
        <f t="shared" si="9"/>
        <v>14547.5</v>
      </c>
      <c r="G69" s="1">
        <f t="shared" si="12"/>
        <v>-3.7674999999580905E-2</v>
      </c>
      <c r="K69" s="1">
        <f t="shared" si="14"/>
        <v>-3.7674999999580905E-2</v>
      </c>
      <c r="O69" s="1">
        <f t="shared" ca="1" si="10"/>
        <v>-3.7498580523916122E-2</v>
      </c>
      <c r="Q69" s="68">
        <f t="shared" si="11"/>
        <v>42499.943500000001</v>
      </c>
    </row>
    <row r="70" spans="1:17" x14ac:dyDescent="0.2">
      <c r="A70" s="37" t="s">
        <v>69</v>
      </c>
      <c r="B70" s="38" t="s">
        <v>48</v>
      </c>
      <c r="C70" s="39">
        <v>57564.349649999996</v>
      </c>
      <c r="D70" s="39">
        <v>1.4999999999999999E-4</v>
      </c>
      <c r="E70" s="1">
        <f t="shared" si="8"/>
        <v>14642.922153570898</v>
      </c>
      <c r="F70" s="1">
        <f t="shared" si="9"/>
        <v>14643</v>
      </c>
      <c r="G70" s="1">
        <f t="shared" si="12"/>
        <v>-3.7420000000565778E-2</v>
      </c>
      <c r="K70" s="1">
        <f t="shared" si="14"/>
        <v>-3.7420000000565778E-2</v>
      </c>
      <c r="O70" s="1">
        <f t="shared" ca="1" si="10"/>
        <v>-3.7730675672751221E-2</v>
      </c>
      <c r="Q70" s="68">
        <f t="shared" si="11"/>
        <v>42545.849649999996</v>
      </c>
    </row>
    <row r="71" spans="1:17" x14ac:dyDescent="0.2">
      <c r="A71" s="48" t="s">
        <v>70</v>
      </c>
      <c r="B71" s="49" t="s">
        <v>47</v>
      </c>
      <c r="C71" s="48">
        <v>58237.074599999934</v>
      </c>
      <c r="D71" s="48" t="s">
        <v>18</v>
      </c>
      <c r="E71" s="1">
        <f t="shared" si="8"/>
        <v>16042.420686929068</v>
      </c>
      <c r="F71" s="1">
        <f t="shared" si="9"/>
        <v>16042.5</v>
      </c>
      <c r="G71" s="1">
        <f t="shared" si="12"/>
        <v>-3.8125000064610504E-2</v>
      </c>
      <c r="K71" s="1">
        <f t="shared" si="14"/>
        <v>-3.8125000064610504E-2</v>
      </c>
      <c r="O71" s="1">
        <f t="shared" ca="1" si="10"/>
        <v>-4.1131902487355612E-2</v>
      </c>
      <c r="Q71" s="68">
        <f t="shared" si="11"/>
        <v>43218.574599999934</v>
      </c>
    </row>
    <row r="72" spans="1:17" x14ac:dyDescent="0.2">
      <c r="A72" s="48" t="s">
        <v>70</v>
      </c>
      <c r="B72" s="49" t="s">
        <v>47</v>
      </c>
      <c r="C72" s="48">
        <v>58237.075100000016</v>
      </c>
      <c r="D72" s="48" t="s">
        <v>18</v>
      </c>
      <c r="E72" s="1">
        <f t="shared" si="8"/>
        <v>16042.421727100658</v>
      </c>
      <c r="F72" s="1">
        <f t="shared" si="9"/>
        <v>16042.5</v>
      </c>
      <c r="G72" s="1">
        <f t="shared" si="12"/>
        <v>-3.7624999982654117E-2</v>
      </c>
      <c r="K72" s="1">
        <f t="shared" si="14"/>
        <v>-3.7624999982654117E-2</v>
      </c>
      <c r="O72" s="1">
        <f t="shared" ca="1" si="10"/>
        <v>-4.1131902487355612E-2</v>
      </c>
      <c r="Q72" s="68">
        <f t="shared" si="11"/>
        <v>43218.575100000016</v>
      </c>
    </row>
    <row r="73" spans="1:17" x14ac:dyDescent="0.2">
      <c r="A73" s="48" t="s">
        <v>70</v>
      </c>
      <c r="B73" s="49" t="s">
        <v>47</v>
      </c>
      <c r="C73" s="48">
        <v>58237.076799999923</v>
      </c>
      <c r="D73" s="48" t="s">
        <v>18</v>
      </c>
      <c r="E73" s="1">
        <f t="shared" si="8"/>
        <v>16042.425263683292</v>
      </c>
      <c r="F73" s="1">
        <f t="shared" si="9"/>
        <v>16042.5</v>
      </c>
      <c r="G73" s="1">
        <f t="shared" si="12"/>
        <v>-3.5925000076531433E-2</v>
      </c>
      <c r="K73" s="1">
        <f t="shared" si="14"/>
        <v>-3.5925000076531433E-2</v>
      </c>
      <c r="O73" s="1">
        <f t="shared" ca="1" si="10"/>
        <v>-4.1131902487355612E-2</v>
      </c>
      <c r="Q73" s="68">
        <f t="shared" si="11"/>
        <v>43218.576799999923</v>
      </c>
    </row>
    <row r="74" spans="1:17" x14ac:dyDescent="0.2">
      <c r="A74" s="48" t="s">
        <v>71</v>
      </c>
      <c r="B74" s="49" t="s">
        <v>48</v>
      </c>
      <c r="C74" s="48">
        <v>58251.734100000001</v>
      </c>
      <c r="D74" s="48">
        <v>2.0000000000000001E-4</v>
      </c>
      <c r="E74" s="1">
        <f t="shared" si="8"/>
        <v>16072.917472799518</v>
      </c>
      <c r="F74" s="1">
        <f t="shared" si="9"/>
        <v>16073</v>
      </c>
      <c r="G74" s="1">
        <f t="shared" si="12"/>
        <v>-3.966999999829568E-2</v>
      </c>
      <c r="K74" s="1">
        <f t="shared" si="14"/>
        <v>-3.966999999829568E-2</v>
      </c>
      <c r="O74" s="1">
        <f t="shared" ca="1" si="10"/>
        <v>-4.1206027116041169E-2</v>
      </c>
      <c r="Q74" s="68">
        <f t="shared" si="11"/>
        <v>43233.234100000001</v>
      </c>
    </row>
    <row r="75" spans="1:17" x14ac:dyDescent="0.2">
      <c r="A75" s="53" t="s">
        <v>72</v>
      </c>
      <c r="B75" s="54" t="s">
        <v>47</v>
      </c>
      <c r="C75" s="55">
        <v>58226.498780000002</v>
      </c>
      <c r="D75" s="55">
        <v>1.3999999999999999E-4</v>
      </c>
      <c r="E75" s="1">
        <f>+(C75-C$7)/C$8</f>
        <v>16020.41935550979</v>
      </c>
      <c r="F75" s="1">
        <f t="shared" si="9"/>
        <v>16020.5</v>
      </c>
      <c r="G75" s="1">
        <f>+C75-(C$7+F75*C$8)</f>
        <v>-3.876499999751104E-2</v>
      </c>
      <c r="K75" s="1">
        <f>+G75</f>
        <v>-3.876499999751104E-2</v>
      </c>
      <c r="O75" s="1">
        <f ca="1">+C$11+C$12*$F75</f>
        <v>-4.1078435542074229E-2</v>
      </c>
      <c r="Q75" s="68">
        <f>+C75-15018.5</f>
        <v>43207.998780000002</v>
      </c>
    </row>
    <row r="76" spans="1:17" ht="12" customHeight="1" x14ac:dyDescent="0.2">
      <c r="A76" s="53" t="s">
        <v>73</v>
      </c>
      <c r="B76" s="54" t="s">
        <v>48</v>
      </c>
      <c r="C76" s="55">
        <v>57877.756800000003</v>
      </c>
      <c r="D76" s="55">
        <v>2.0000000000000001E-4</v>
      </c>
      <c r="E76" s="1">
        <f>+(C76-C$7)/C$8</f>
        <v>15294.916474234959</v>
      </c>
      <c r="F76" s="1">
        <f t="shared" si="9"/>
        <v>15295</v>
      </c>
      <c r="G76" s="1">
        <f>+C76-(C$7+F76*C$8)</f>
        <v>-4.0150000000721775E-2</v>
      </c>
      <c r="K76" s="1">
        <f>+G76</f>
        <v>-4.0150000000721775E-2</v>
      </c>
      <c r="O76" s="1">
        <f ca="1">+C$11+C$12*$F76</f>
        <v>-3.9315241505635867E-2</v>
      </c>
      <c r="Q76" s="68">
        <f>+C76-15018.5</f>
        <v>42859.256800000003</v>
      </c>
    </row>
    <row r="77" spans="1:17" ht="12" customHeight="1" x14ac:dyDescent="0.2">
      <c r="A77" s="53" t="s">
        <v>74</v>
      </c>
      <c r="B77" s="54" t="s">
        <v>48</v>
      </c>
      <c r="C77" s="55">
        <v>58661.756600000001</v>
      </c>
      <c r="D77" s="55">
        <v>4.0000000000000002E-4</v>
      </c>
      <c r="E77" s="1">
        <f>+(C77-C$7)/C$8</f>
        <v>16925.904845118475</v>
      </c>
      <c r="F77" s="1">
        <f t="shared" si="9"/>
        <v>16926</v>
      </c>
      <c r="G77" s="1">
        <f>+C77-(C$7+F77*C$8)</f>
        <v>-4.5740000001387671E-2</v>
      </c>
      <c r="K77" s="1">
        <f>+G77</f>
        <v>-4.5740000001387671E-2</v>
      </c>
      <c r="O77" s="1">
        <f ca="1">+C$11+C$12*$F77</f>
        <v>-4.3279086403542083E-2</v>
      </c>
      <c r="Q77" s="68">
        <f>+C77-15018.5</f>
        <v>43643.256600000001</v>
      </c>
    </row>
    <row r="78" spans="1:17" ht="12" customHeight="1" x14ac:dyDescent="0.2">
      <c r="A78" s="53" t="s">
        <v>185</v>
      </c>
      <c r="B78" s="54" t="s">
        <v>48</v>
      </c>
      <c r="C78" s="55">
        <v>59036.704299999998</v>
      </c>
      <c r="D78" s="55">
        <v>8.9999999999999998E-4</v>
      </c>
      <c r="E78" s="1">
        <f>+(C78-C$7)/C$8</f>
        <v>17705.924608375451</v>
      </c>
      <c r="F78" s="1">
        <f>ROUND(2*E78,0)/2</f>
        <v>17706</v>
      </c>
      <c r="G78" s="1">
        <f>+C78-(C$7+F78*C$8)</f>
        <v>-3.6240000001271255E-2</v>
      </c>
      <c r="K78" s="1">
        <f>+G78</f>
        <v>-3.6240000001271255E-2</v>
      </c>
      <c r="O78" s="1">
        <f ca="1">+C$11+C$12*$F78</f>
        <v>-4.5174732645336599E-2</v>
      </c>
      <c r="Q78" s="68">
        <f>+C78-15018.5</f>
        <v>44018.204299999998</v>
      </c>
    </row>
    <row r="79" spans="1:17" ht="12" customHeight="1" x14ac:dyDescent="0.2">
      <c r="A79" s="69" t="s">
        <v>186</v>
      </c>
      <c r="B79" s="70" t="s">
        <v>47</v>
      </c>
      <c r="C79" s="71">
        <v>59396.495000000003</v>
      </c>
      <c r="D79" s="69">
        <v>6.0000000000000001E-3</v>
      </c>
      <c r="E79" s="1">
        <f t="shared" ref="E79:E80" si="15">+(C79-C$7)/C$8</f>
        <v>18454.412615198988</v>
      </c>
      <c r="F79" s="1">
        <f t="shared" ref="F79:F80" si="16">ROUND(2*E79,0)/2</f>
        <v>18454.5</v>
      </c>
      <c r="G79" s="1">
        <f t="shared" ref="G79:G80" si="17">+C79-(C$7+F79*C$8)</f>
        <v>-4.200499999569729E-2</v>
      </c>
      <c r="K79" s="1">
        <f t="shared" ref="K79:K80" si="18">+G79</f>
        <v>-4.200499999569729E-2</v>
      </c>
      <c r="O79" s="1">
        <f t="shared" ref="O79:O80" ca="1" si="19">+C$11+C$12*$F79</f>
        <v>-4.6993823942750951E-2</v>
      </c>
      <c r="Q79" s="68">
        <f t="shared" ref="Q79:Q80" si="20">+C79-15018.5</f>
        <v>44377.995000000003</v>
      </c>
    </row>
    <row r="80" spans="1:17" ht="12" customHeight="1" x14ac:dyDescent="0.2">
      <c r="A80" s="69" t="s">
        <v>186</v>
      </c>
      <c r="B80" s="70" t="s">
        <v>47</v>
      </c>
      <c r="C80" s="71">
        <v>59699.569000000003</v>
      </c>
      <c r="D80" s="69">
        <v>2E-3</v>
      </c>
      <c r="E80" s="1">
        <f t="shared" si="15"/>
        <v>19084.910441240721</v>
      </c>
      <c r="F80" s="1">
        <f t="shared" si="16"/>
        <v>19085</v>
      </c>
      <c r="G80" s="1">
        <f t="shared" si="17"/>
        <v>-4.3050000000221189E-2</v>
      </c>
      <c r="K80" s="1">
        <f t="shared" si="18"/>
        <v>-4.3050000000221189E-2</v>
      </c>
      <c r="O80" s="1">
        <f t="shared" ca="1" si="19"/>
        <v>-4.8526137988201518E-2</v>
      </c>
      <c r="Q80" s="68">
        <f t="shared" si="20"/>
        <v>44681.069000000003</v>
      </c>
    </row>
    <row r="81" ht="12" customHeight="1" x14ac:dyDescent="0.2"/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workbookViewId="0">
      <selection activeCell="A23" sqref="A23"/>
    </sheetView>
  </sheetViews>
  <sheetFormatPr defaultRowHeight="12.75" x14ac:dyDescent="0.2"/>
  <cols>
    <col min="1" max="1" width="19.7109375" style="29" customWidth="1"/>
    <col min="2" max="2" width="4.42578125" customWidth="1"/>
    <col min="3" max="3" width="12.7109375" style="29" customWidth="1"/>
    <col min="4" max="4" width="5.42578125" customWidth="1"/>
    <col min="5" max="5" width="14.85546875" customWidth="1"/>
    <col min="7" max="7" width="12" customWidth="1"/>
    <col min="8" max="8" width="14.140625" style="29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56" t="s">
        <v>75</v>
      </c>
      <c r="I1" s="57" t="s">
        <v>76</v>
      </c>
      <c r="J1" s="58" t="s">
        <v>38</v>
      </c>
    </row>
    <row r="2" spans="1:16" x14ac:dyDescent="0.2">
      <c r="I2" s="59" t="s">
        <v>77</v>
      </c>
      <c r="J2" s="60" t="s">
        <v>37</v>
      </c>
    </row>
    <row r="3" spans="1:16" x14ac:dyDescent="0.2">
      <c r="A3" s="61" t="s">
        <v>78</v>
      </c>
      <c r="I3" s="59" t="s">
        <v>79</v>
      </c>
      <c r="J3" s="60" t="s">
        <v>35</v>
      </c>
    </row>
    <row r="4" spans="1:16" x14ac:dyDescent="0.2">
      <c r="I4" s="59" t="s">
        <v>80</v>
      </c>
      <c r="J4" s="60" t="s">
        <v>35</v>
      </c>
    </row>
    <row r="5" spans="1:16" x14ac:dyDescent="0.2">
      <c r="I5" s="62" t="s">
        <v>63</v>
      </c>
      <c r="J5" s="63" t="s">
        <v>36</v>
      </c>
    </row>
    <row r="11" spans="1:16" ht="12.75" customHeight="1" x14ac:dyDescent="0.2">
      <c r="A11" s="29" t="str">
        <f t="shared" ref="A11:A37" si="0">P11</f>
        <v>IBVS 5300 </v>
      </c>
      <c r="B11" s="17" t="str">
        <f t="shared" ref="B11:B37" si="1">IF(H11=INT(H11),"I","II")</f>
        <v>II</v>
      </c>
      <c r="C11" s="29">
        <f t="shared" ref="C11:C37" si="2">1*G11</f>
        <v>52405.368900000001</v>
      </c>
      <c r="D11" t="str">
        <f t="shared" ref="D11:D37" si="3">VLOOKUP(F11,I$1:J$5,2,FALSE)</f>
        <v>vis</v>
      </c>
      <c r="E11">
        <f>VLOOKUP(C11,Active!C$21:E$972,3,FALSE)</f>
        <v>3910.4734860304989</v>
      </c>
      <c r="F11" s="17" t="s">
        <v>63</v>
      </c>
      <c r="G11" t="str">
        <f t="shared" ref="G11:G37" si="4">MID(I11,3,LEN(I11)-3)</f>
        <v>52405.3689</v>
      </c>
      <c r="H11" s="29">
        <f t="shared" ref="H11:H37" si="5">1*K11</f>
        <v>-197.5</v>
      </c>
      <c r="I11" s="64" t="s">
        <v>81</v>
      </c>
      <c r="J11" s="65" t="s">
        <v>82</v>
      </c>
      <c r="K11" s="64">
        <v>-197.5</v>
      </c>
      <c r="L11" s="64" t="s">
        <v>83</v>
      </c>
      <c r="M11" s="65" t="s">
        <v>84</v>
      </c>
      <c r="N11" s="65" t="s">
        <v>85</v>
      </c>
      <c r="O11" s="66" t="s">
        <v>86</v>
      </c>
      <c r="P11" s="67" t="s">
        <v>87</v>
      </c>
    </row>
    <row r="12" spans="1:16" ht="12.75" customHeight="1" x14ac:dyDescent="0.2">
      <c r="A12" s="29" t="str">
        <f t="shared" si="0"/>
        <v>IBVS 5300 </v>
      </c>
      <c r="B12" s="17" t="str">
        <f t="shared" si="1"/>
        <v>I</v>
      </c>
      <c r="C12" s="29">
        <f t="shared" si="2"/>
        <v>52424.3554</v>
      </c>
      <c r="D12" t="str">
        <f t="shared" si="3"/>
        <v>vis</v>
      </c>
      <c r="E12">
        <f>VLOOKUP(C12,Active!C$21:E$972,3,FALSE)</f>
        <v>3949.9719153716524</v>
      </c>
      <c r="F12" s="17" t="s">
        <v>63</v>
      </c>
      <c r="G12" t="str">
        <f t="shared" si="4"/>
        <v>52424.3554</v>
      </c>
      <c r="H12" s="29">
        <f t="shared" si="5"/>
        <v>-158</v>
      </c>
      <c r="I12" s="64" t="s">
        <v>88</v>
      </c>
      <c r="J12" s="65" t="s">
        <v>89</v>
      </c>
      <c r="K12" s="64">
        <v>-158</v>
      </c>
      <c r="L12" s="64" t="s">
        <v>90</v>
      </c>
      <c r="M12" s="65" t="s">
        <v>84</v>
      </c>
      <c r="N12" s="65" t="s">
        <v>85</v>
      </c>
      <c r="O12" s="66" t="s">
        <v>91</v>
      </c>
      <c r="P12" s="67" t="s">
        <v>87</v>
      </c>
    </row>
    <row r="13" spans="1:16" ht="12.75" customHeight="1" x14ac:dyDescent="0.2">
      <c r="A13" s="29" t="str">
        <f t="shared" si="0"/>
        <v>IBVS 5300 </v>
      </c>
      <c r="B13" s="17" t="str">
        <f t="shared" si="1"/>
        <v>I</v>
      </c>
      <c r="C13" s="29">
        <f t="shared" si="2"/>
        <v>52450.314899999998</v>
      </c>
      <c r="D13" t="str">
        <f t="shared" si="3"/>
        <v>vis</v>
      </c>
      <c r="E13">
        <f>VLOOKUP(C13,Active!C$21:E$972,3,FALSE)</f>
        <v>4003.9765753396091</v>
      </c>
      <c r="F13" s="17" t="s">
        <v>63</v>
      </c>
      <c r="G13" t="str">
        <f t="shared" si="4"/>
        <v>52450.3149</v>
      </c>
      <c r="H13" s="29">
        <f t="shared" si="5"/>
        <v>-104</v>
      </c>
      <c r="I13" s="64" t="s">
        <v>92</v>
      </c>
      <c r="J13" s="65" t="s">
        <v>93</v>
      </c>
      <c r="K13" s="64">
        <v>-104</v>
      </c>
      <c r="L13" s="64" t="s">
        <v>94</v>
      </c>
      <c r="M13" s="65" t="s">
        <v>84</v>
      </c>
      <c r="N13" s="65" t="s">
        <v>85</v>
      </c>
      <c r="O13" s="66" t="s">
        <v>91</v>
      </c>
      <c r="P13" s="67" t="s">
        <v>87</v>
      </c>
    </row>
    <row r="14" spans="1:16" ht="12.75" customHeight="1" x14ac:dyDescent="0.2">
      <c r="A14" s="29" t="str">
        <f t="shared" si="0"/>
        <v>IBVS 5300 </v>
      </c>
      <c r="B14" s="17" t="str">
        <f t="shared" si="1"/>
        <v>I</v>
      </c>
      <c r="C14" s="29">
        <f t="shared" si="2"/>
        <v>52461.366699999999</v>
      </c>
      <c r="D14" t="str">
        <f t="shared" si="3"/>
        <v>vis</v>
      </c>
      <c r="E14">
        <f>VLOOKUP(C14,Active!C$21:E$972,3,FALSE)</f>
        <v>4026.9681083442506</v>
      </c>
      <c r="F14" s="17" t="s">
        <v>63</v>
      </c>
      <c r="G14" t="str">
        <f t="shared" si="4"/>
        <v>52461.3667</v>
      </c>
      <c r="H14" s="29">
        <f t="shared" si="5"/>
        <v>-81</v>
      </c>
      <c r="I14" s="64" t="s">
        <v>95</v>
      </c>
      <c r="J14" s="65" t="s">
        <v>96</v>
      </c>
      <c r="K14" s="64">
        <v>-81</v>
      </c>
      <c r="L14" s="64" t="s">
        <v>97</v>
      </c>
      <c r="M14" s="65" t="s">
        <v>84</v>
      </c>
      <c r="N14" s="65" t="s">
        <v>85</v>
      </c>
      <c r="O14" s="66" t="s">
        <v>98</v>
      </c>
      <c r="P14" s="67" t="s">
        <v>87</v>
      </c>
    </row>
    <row r="15" spans="1:16" ht="12.75" customHeight="1" x14ac:dyDescent="0.2">
      <c r="A15" s="29" t="str">
        <f t="shared" si="0"/>
        <v>IBVS 5300 </v>
      </c>
      <c r="B15" s="17" t="str">
        <f t="shared" si="1"/>
        <v>I</v>
      </c>
      <c r="C15" s="29">
        <f t="shared" si="2"/>
        <v>52462.33</v>
      </c>
      <c r="D15" t="str">
        <f t="shared" si="3"/>
        <v>vis</v>
      </c>
      <c r="E15">
        <f>VLOOKUP(C15,Active!C$21:E$972,3,FALSE)</f>
        <v>4028.9721026025109</v>
      </c>
      <c r="F15" s="17" t="s">
        <v>63</v>
      </c>
      <c r="G15" t="str">
        <f t="shared" si="4"/>
        <v>52462.3300</v>
      </c>
      <c r="H15" s="29">
        <f t="shared" si="5"/>
        <v>-79</v>
      </c>
      <c r="I15" s="64" t="s">
        <v>99</v>
      </c>
      <c r="J15" s="65" t="s">
        <v>100</v>
      </c>
      <c r="K15" s="64">
        <v>-79</v>
      </c>
      <c r="L15" s="64" t="s">
        <v>101</v>
      </c>
      <c r="M15" s="65" t="s">
        <v>84</v>
      </c>
      <c r="N15" s="65" t="s">
        <v>85</v>
      </c>
      <c r="O15" s="66" t="s">
        <v>102</v>
      </c>
      <c r="P15" s="67" t="s">
        <v>87</v>
      </c>
    </row>
    <row r="16" spans="1:16" ht="12.75" customHeight="1" x14ac:dyDescent="0.2">
      <c r="A16" s="29" t="str">
        <f t="shared" si="0"/>
        <v>IBVS 5592 </v>
      </c>
      <c r="B16" s="17" t="str">
        <f t="shared" si="1"/>
        <v>II</v>
      </c>
      <c r="C16" s="29">
        <f t="shared" si="2"/>
        <v>53130.244599999998</v>
      </c>
      <c r="D16" t="str">
        <f t="shared" si="3"/>
        <v>vis</v>
      </c>
      <c r="E16">
        <f>VLOOKUP(C16,Active!C$21:E$972,3,FALSE)</f>
        <v>5418.463458778001</v>
      </c>
      <c r="F16" s="17" t="s">
        <v>63</v>
      </c>
      <c r="G16" t="str">
        <f t="shared" si="4"/>
        <v>53130.2446</v>
      </c>
      <c r="H16" s="29">
        <f t="shared" si="5"/>
        <v>1310.5</v>
      </c>
      <c r="I16" s="64" t="s">
        <v>103</v>
      </c>
      <c r="J16" s="65" t="s">
        <v>104</v>
      </c>
      <c r="K16" s="64">
        <v>1310.5</v>
      </c>
      <c r="L16" s="64" t="s">
        <v>105</v>
      </c>
      <c r="M16" s="65" t="s">
        <v>84</v>
      </c>
      <c r="N16" s="65" t="s">
        <v>85</v>
      </c>
      <c r="O16" s="66" t="s">
        <v>106</v>
      </c>
      <c r="P16" s="67" t="s">
        <v>107</v>
      </c>
    </row>
    <row r="17" spans="1:16" ht="12.75" customHeight="1" x14ac:dyDescent="0.2">
      <c r="A17" s="29" t="str">
        <f t="shared" si="0"/>
        <v>IBVS 5677 </v>
      </c>
      <c r="B17" s="17" t="str">
        <f t="shared" si="1"/>
        <v>I</v>
      </c>
      <c r="C17" s="29">
        <f t="shared" si="2"/>
        <v>53458.795400000003</v>
      </c>
      <c r="D17" t="str">
        <f t="shared" si="3"/>
        <v>vis</v>
      </c>
      <c r="E17">
        <f>VLOOKUP(C17,Active!C$21:E$972,3,FALSE)</f>
        <v>6101.9617632985955</v>
      </c>
      <c r="F17" s="17" t="s">
        <v>63</v>
      </c>
      <c r="G17" t="str">
        <f t="shared" si="4"/>
        <v>53458.7954</v>
      </c>
      <c r="H17" s="29">
        <f t="shared" si="5"/>
        <v>1994</v>
      </c>
      <c r="I17" s="64" t="s">
        <v>108</v>
      </c>
      <c r="J17" s="65" t="s">
        <v>109</v>
      </c>
      <c r="K17" s="64">
        <v>1994</v>
      </c>
      <c r="L17" s="64" t="s">
        <v>90</v>
      </c>
      <c r="M17" s="65" t="s">
        <v>84</v>
      </c>
      <c r="N17" s="65" t="s">
        <v>85</v>
      </c>
      <c r="O17" s="66" t="s">
        <v>110</v>
      </c>
      <c r="P17" s="67" t="s">
        <v>111</v>
      </c>
    </row>
    <row r="18" spans="1:16" ht="12.75" customHeight="1" x14ac:dyDescent="0.2">
      <c r="A18" s="29" t="str">
        <f t="shared" si="0"/>
        <v>IBVS 5917 </v>
      </c>
      <c r="B18" s="17" t="str">
        <f t="shared" si="1"/>
        <v>I</v>
      </c>
      <c r="C18" s="29">
        <f t="shared" si="2"/>
        <v>54159.635999999999</v>
      </c>
      <c r="D18" t="str">
        <f t="shared" si="3"/>
        <v>vis</v>
      </c>
      <c r="E18">
        <f>VLOOKUP(C18,Active!C$21:E$972,3,FALSE)</f>
        <v>7559.9504878403914</v>
      </c>
      <c r="F18" s="17" t="s">
        <v>63</v>
      </c>
      <c r="G18" t="str">
        <f t="shared" si="4"/>
        <v>54159.636</v>
      </c>
      <c r="H18" s="29">
        <f t="shared" si="5"/>
        <v>3452</v>
      </c>
      <c r="I18" s="64" t="s">
        <v>112</v>
      </c>
      <c r="J18" s="65" t="s">
        <v>113</v>
      </c>
      <c r="K18" s="64">
        <v>3452</v>
      </c>
      <c r="L18" s="64" t="s">
        <v>114</v>
      </c>
      <c r="M18" s="65" t="s">
        <v>115</v>
      </c>
      <c r="N18" s="65" t="s">
        <v>116</v>
      </c>
      <c r="O18" s="66" t="s">
        <v>117</v>
      </c>
      <c r="P18" s="67" t="s">
        <v>118</v>
      </c>
    </row>
    <row r="19" spans="1:16" ht="12.75" customHeight="1" x14ac:dyDescent="0.2">
      <c r="A19" s="29" t="str">
        <f t="shared" si="0"/>
        <v>IBVS 5938 </v>
      </c>
      <c r="B19" s="17" t="str">
        <f t="shared" si="1"/>
        <v>I</v>
      </c>
      <c r="C19" s="29">
        <f t="shared" si="2"/>
        <v>54926.821000000004</v>
      </c>
      <c r="D19" t="str">
        <f t="shared" si="3"/>
        <v>vis</v>
      </c>
      <c r="E19">
        <f>VLOOKUP(C19,Active!C$21:E$972,3,FALSE)</f>
        <v>9155.9583099294814</v>
      </c>
      <c r="F19" s="17" t="s">
        <v>63</v>
      </c>
      <c r="G19" t="str">
        <f t="shared" si="4"/>
        <v>54926.821</v>
      </c>
      <c r="H19" s="29">
        <f t="shared" si="5"/>
        <v>5048</v>
      </c>
      <c r="I19" s="64" t="s">
        <v>119</v>
      </c>
      <c r="J19" s="65" t="s">
        <v>120</v>
      </c>
      <c r="K19" s="64">
        <v>5048</v>
      </c>
      <c r="L19" s="64" t="s">
        <v>121</v>
      </c>
      <c r="M19" s="65" t="s">
        <v>115</v>
      </c>
      <c r="N19" s="65" t="s">
        <v>63</v>
      </c>
      <c r="O19" s="66" t="s">
        <v>110</v>
      </c>
      <c r="P19" s="67" t="s">
        <v>122</v>
      </c>
    </row>
    <row r="20" spans="1:16" ht="12.75" customHeight="1" x14ac:dyDescent="0.2">
      <c r="A20" s="29" t="str">
        <f t="shared" si="0"/>
        <v>OEJV 0116 </v>
      </c>
      <c r="B20" s="17" t="str">
        <f t="shared" si="1"/>
        <v>I</v>
      </c>
      <c r="C20" s="29">
        <f t="shared" si="2"/>
        <v>55000.358999999997</v>
      </c>
      <c r="D20" t="str">
        <f t="shared" si="3"/>
        <v>vis</v>
      </c>
      <c r="E20">
        <f>VLOOKUP(C20,Active!C$21:E$972,3,FALSE)</f>
        <v>9308.9425617341658</v>
      </c>
      <c r="F20" s="17" t="s">
        <v>63</v>
      </c>
      <c r="G20" t="str">
        <f t="shared" si="4"/>
        <v>55000.359</v>
      </c>
      <c r="H20" s="29">
        <f t="shared" si="5"/>
        <v>5201</v>
      </c>
      <c r="I20" s="64" t="s">
        <v>123</v>
      </c>
      <c r="J20" s="65" t="s">
        <v>124</v>
      </c>
      <c r="K20" s="64">
        <v>5201</v>
      </c>
      <c r="L20" s="64" t="s">
        <v>114</v>
      </c>
      <c r="M20" s="65" t="s">
        <v>115</v>
      </c>
      <c r="N20" s="65" t="s">
        <v>125</v>
      </c>
      <c r="O20" s="66" t="s">
        <v>126</v>
      </c>
      <c r="P20" s="67" t="s">
        <v>127</v>
      </c>
    </row>
    <row r="21" spans="1:16" ht="12.75" customHeight="1" x14ac:dyDescent="0.2">
      <c r="A21" s="29" t="str">
        <f t="shared" si="0"/>
        <v>BAVM 238 </v>
      </c>
      <c r="B21" s="17" t="str">
        <f t="shared" si="1"/>
        <v>II</v>
      </c>
      <c r="C21" s="29">
        <f t="shared" si="2"/>
        <v>56782.510999999999</v>
      </c>
      <c r="D21" t="str">
        <f t="shared" si="3"/>
        <v>vis</v>
      </c>
      <c r="E21">
        <f>VLOOKUP(C21,Active!C$21:E$972,3,FALSE)</f>
        <v>13016.429715617129</v>
      </c>
      <c r="F21" s="17" t="s">
        <v>63</v>
      </c>
      <c r="G21" t="str">
        <f t="shared" si="4"/>
        <v>56782.511</v>
      </c>
      <c r="H21" s="29">
        <f t="shared" si="5"/>
        <v>8908.5</v>
      </c>
      <c r="I21" s="64" t="s">
        <v>128</v>
      </c>
      <c r="J21" s="65" t="s">
        <v>129</v>
      </c>
      <c r="K21" s="64">
        <v>8908.5</v>
      </c>
      <c r="L21" s="64" t="s">
        <v>130</v>
      </c>
      <c r="M21" s="65" t="s">
        <v>115</v>
      </c>
      <c r="N21" s="65" t="s">
        <v>131</v>
      </c>
      <c r="O21" s="66" t="s">
        <v>132</v>
      </c>
      <c r="P21" s="67" t="s">
        <v>133</v>
      </c>
    </row>
    <row r="22" spans="1:16" ht="12.75" customHeight="1" x14ac:dyDescent="0.2">
      <c r="A22" s="29" t="str">
        <f t="shared" si="0"/>
        <v>OEJV 0172 </v>
      </c>
      <c r="B22" s="17" t="str">
        <f t="shared" si="1"/>
        <v>I</v>
      </c>
      <c r="C22" s="29">
        <f t="shared" si="2"/>
        <v>57033.669000000002</v>
      </c>
      <c r="D22" t="str">
        <f t="shared" si="3"/>
        <v>vis</v>
      </c>
      <c r="E22">
        <f>VLOOKUP(C22,Active!C$21:E$972,3,FALSE)</f>
        <v>13538.924462751464</v>
      </c>
      <c r="F22" s="17" t="s">
        <v>63</v>
      </c>
      <c r="G22" t="str">
        <f t="shared" si="4"/>
        <v>57033.669</v>
      </c>
      <c r="H22" s="29">
        <f t="shared" si="5"/>
        <v>9431</v>
      </c>
      <c r="I22" s="64" t="s">
        <v>134</v>
      </c>
      <c r="J22" s="65" t="s">
        <v>135</v>
      </c>
      <c r="K22" s="64" t="s">
        <v>136</v>
      </c>
      <c r="L22" s="64" t="s">
        <v>137</v>
      </c>
      <c r="M22" s="65" t="s">
        <v>115</v>
      </c>
      <c r="N22" s="65" t="s">
        <v>125</v>
      </c>
      <c r="O22" s="66" t="s">
        <v>126</v>
      </c>
      <c r="P22" s="67" t="s">
        <v>138</v>
      </c>
    </row>
    <row r="23" spans="1:16" ht="12.75" customHeight="1" x14ac:dyDescent="0.2">
      <c r="A23" s="29" t="str">
        <f t="shared" si="0"/>
        <v> AAS 296,265ff </v>
      </c>
      <c r="B23" s="17" t="str">
        <f t="shared" si="1"/>
        <v>II</v>
      </c>
      <c r="C23" s="29">
        <f t="shared" si="2"/>
        <v>52725.5075</v>
      </c>
      <c r="D23" t="str">
        <f t="shared" si="3"/>
        <v>vis</v>
      </c>
      <c r="E23">
        <f>VLOOKUP(C23,Active!C$21:E$972,3,FALSE)</f>
        <v>4576.4715305082254</v>
      </c>
      <c r="F23" s="17" t="s">
        <v>63</v>
      </c>
      <c r="G23" t="str">
        <f t="shared" si="4"/>
        <v>52725.5075</v>
      </c>
      <c r="H23" s="29">
        <f t="shared" si="5"/>
        <v>468.5</v>
      </c>
      <c r="I23" s="64" t="s">
        <v>139</v>
      </c>
      <c r="J23" s="65" t="s">
        <v>140</v>
      </c>
      <c r="K23" s="64">
        <v>468.5</v>
      </c>
      <c r="L23" s="64" t="s">
        <v>141</v>
      </c>
      <c r="M23" s="65" t="s">
        <v>84</v>
      </c>
      <c r="N23" s="65" t="s">
        <v>85</v>
      </c>
      <c r="O23" s="66" t="s">
        <v>142</v>
      </c>
      <c r="P23" s="66" t="s">
        <v>46</v>
      </c>
    </row>
    <row r="24" spans="1:16" ht="12.75" customHeight="1" x14ac:dyDescent="0.2">
      <c r="A24" s="29" t="str">
        <f t="shared" si="0"/>
        <v> AAS 296,265ff </v>
      </c>
      <c r="B24" s="17" t="str">
        <f t="shared" si="1"/>
        <v>II</v>
      </c>
      <c r="C24" s="29">
        <f t="shared" si="2"/>
        <v>52727.429400000001</v>
      </c>
      <c r="D24" t="str">
        <f t="shared" si="3"/>
        <v>vis</v>
      </c>
      <c r="E24">
        <f>VLOOKUP(C24,Active!C$21:E$972,3,FALSE)</f>
        <v>4580.4697414133852</v>
      </c>
      <c r="F24" s="17" t="s">
        <v>63</v>
      </c>
      <c r="G24" t="str">
        <f t="shared" si="4"/>
        <v>52727.4294</v>
      </c>
      <c r="H24" s="29">
        <f t="shared" si="5"/>
        <v>472.5</v>
      </c>
      <c r="I24" s="64" t="s">
        <v>143</v>
      </c>
      <c r="J24" s="65" t="s">
        <v>144</v>
      </c>
      <c r="K24" s="64">
        <v>472.5</v>
      </c>
      <c r="L24" s="64" t="s">
        <v>145</v>
      </c>
      <c r="M24" s="65" t="s">
        <v>84</v>
      </c>
      <c r="N24" s="65" t="s">
        <v>85</v>
      </c>
      <c r="O24" s="66" t="s">
        <v>142</v>
      </c>
      <c r="P24" s="66" t="s">
        <v>46</v>
      </c>
    </row>
    <row r="25" spans="1:16" ht="12.75" customHeight="1" x14ac:dyDescent="0.2">
      <c r="A25" s="29" t="str">
        <f t="shared" si="0"/>
        <v> AAS 296,265ff </v>
      </c>
      <c r="B25" s="17" t="str">
        <f t="shared" si="1"/>
        <v>I</v>
      </c>
      <c r="C25" s="29">
        <f t="shared" si="2"/>
        <v>52732.476600000002</v>
      </c>
      <c r="D25" t="str">
        <f t="shared" si="3"/>
        <v>vis</v>
      </c>
      <c r="E25">
        <f>VLOOKUP(C25,Active!C$21:E$972,3,FALSE)</f>
        <v>4590.9696477979587</v>
      </c>
      <c r="F25" s="17" t="s">
        <v>63</v>
      </c>
      <c r="G25" t="str">
        <f t="shared" si="4"/>
        <v>52732.4766</v>
      </c>
      <c r="H25" s="29">
        <f t="shared" si="5"/>
        <v>483</v>
      </c>
      <c r="I25" s="64" t="s">
        <v>146</v>
      </c>
      <c r="J25" s="65" t="s">
        <v>147</v>
      </c>
      <c r="K25" s="64">
        <v>483</v>
      </c>
      <c r="L25" s="64" t="s">
        <v>148</v>
      </c>
      <c r="M25" s="65" t="s">
        <v>84</v>
      </c>
      <c r="N25" s="65" t="s">
        <v>85</v>
      </c>
      <c r="O25" s="66" t="s">
        <v>142</v>
      </c>
      <c r="P25" s="66" t="s">
        <v>46</v>
      </c>
    </row>
    <row r="26" spans="1:16" ht="12.75" customHeight="1" x14ac:dyDescent="0.2">
      <c r="A26" s="29" t="str">
        <f t="shared" si="0"/>
        <v> AAS 296,265ff </v>
      </c>
      <c r="B26" s="17" t="str">
        <f t="shared" si="1"/>
        <v>II</v>
      </c>
      <c r="C26" s="29">
        <f t="shared" si="2"/>
        <v>52738.484299999996</v>
      </c>
      <c r="D26" t="str">
        <f t="shared" si="3"/>
        <v>vis</v>
      </c>
      <c r="E26">
        <f>VLOOKUP(C26,Active!C$21:E$972,3,FALSE)</f>
        <v>4603.4677234808205</v>
      </c>
      <c r="F26" s="17" t="s">
        <v>63</v>
      </c>
      <c r="G26" t="str">
        <f t="shared" si="4"/>
        <v>52738.4843</v>
      </c>
      <c r="H26" s="29">
        <f t="shared" si="5"/>
        <v>495.5</v>
      </c>
      <c r="I26" s="64" t="s">
        <v>149</v>
      </c>
      <c r="J26" s="65" t="s">
        <v>150</v>
      </c>
      <c r="K26" s="64">
        <v>495.5</v>
      </c>
      <c r="L26" s="64" t="s">
        <v>151</v>
      </c>
      <c r="M26" s="65" t="s">
        <v>84</v>
      </c>
      <c r="N26" s="65" t="s">
        <v>85</v>
      </c>
      <c r="O26" s="66" t="s">
        <v>142</v>
      </c>
      <c r="P26" s="66" t="s">
        <v>46</v>
      </c>
    </row>
    <row r="27" spans="1:16" ht="12.75" customHeight="1" x14ac:dyDescent="0.2">
      <c r="A27" s="29" t="str">
        <f t="shared" si="0"/>
        <v> AAS 296,265ff </v>
      </c>
      <c r="B27" s="17" t="str">
        <f t="shared" si="1"/>
        <v>II</v>
      </c>
      <c r="C27" s="29">
        <f t="shared" si="2"/>
        <v>52739.446499999998</v>
      </c>
      <c r="D27" t="str">
        <f t="shared" si="3"/>
        <v>vis</v>
      </c>
      <c r="E27">
        <f>VLOOKUP(C27,Active!C$21:E$972,3,FALSE)</f>
        <v>4605.4694293619532</v>
      </c>
      <c r="F27" s="17" t="s">
        <v>63</v>
      </c>
      <c r="G27" t="str">
        <f t="shared" si="4"/>
        <v>52739.4465</v>
      </c>
      <c r="H27" s="29">
        <f t="shared" si="5"/>
        <v>497.5</v>
      </c>
      <c r="I27" s="64" t="s">
        <v>152</v>
      </c>
      <c r="J27" s="65" t="s">
        <v>153</v>
      </c>
      <c r="K27" s="64">
        <v>497.5</v>
      </c>
      <c r="L27" s="64" t="s">
        <v>148</v>
      </c>
      <c r="M27" s="65" t="s">
        <v>84</v>
      </c>
      <c r="N27" s="65" t="s">
        <v>85</v>
      </c>
      <c r="O27" s="66" t="s">
        <v>142</v>
      </c>
      <c r="P27" s="66" t="s">
        <v>46</v>
      </c>
    </row>
    <row r="28" spans="1:16" ht="12.75" customHeight="1" x14ac:dyDescent="0.2">
      <c r="A28" s="29" t="str">
        <f t="shared" si="0"/>
        <v> AAS 296,265ff </v>
      </c>
      <c r="B28" s="17" t="str">
        <f t="shared" si="1"/>
        <v>II</v>
      </c>
      <c r="C28" s="29">
        <f t="shared" si="2"/>
        <v>52767.3272</v>
      </c>
      <c r="D28" t="str">
        <f t="shared" si="3"/>
        <v>vis</v>
      </c>
      <c r="E28">
        <f>VLOOKUP(C28,Active!C$21:E$972,3,FALSE)</f>
        <v>4663.4708439950882</v>
      </c>
      <c r="F28" s="17" t="s">
        <v>63</v>
      </c>
      <c r="G28" t="str">
        <f t="shared" si="4"/>
        <v>52767.3272</v>
      </c>
      <c r="H28" s="29">
        <f t="shared" si="5"/>
        <v>555.5</v>
      </c>
      <c r="I28" s="64" t="s">
        <v>154</v>
      </c>
      <c r="J28" s="65" t="s">
        <v>155</v>
      </c>
      <c r="K28" s="64">
        <v>555.5</v>
      </c>
      <c r="L28" s="64" t="s">
        <v>156</v>
      </c>
      <c r="M28" s="65" t="s">
        <v>84</v>
      </c>
      <c r="N28" s="65" t="s">
        <v>85</v>
      </c>
      <c r="O28" s="66" t="s">
        <v>142</v>
      </c>
      <c r="P28" s="66" t="s">
        <v>46</v>
      </c>
    </row>
    <row r="29" spans="1:16" ht="12.75" customHeight="1" x14ac:dyDescent="0.2">
      <c r="A29" s="29" t="str">
        <f t="shared" si="0"/>
        <v> AAS 296,265ff </v>
      </c>
      <c r="B29" s="17" t="str">
        <f t="shared" si="1"/>
        <v>II</v>
      </c>
      <c r="C29" s="29">
        <f t="shared" si="2"/>
        <v>52793.284699999997</v>
      </c>
      <c r="D29" t="str">
        <f t="shared" si="3"/>
        <v>vis</v>
      </c>
      <c r="E29">
        <f>VLOOKUP(C29,Active!C$21:E$972,3,FALSE)</f>
        <v>4717.4713432773633</v>
      </c>
      <c r="F29" s="17" t="s">
        <v>63</v>
      </c>
      <c r="G29" t="str">
        <f t="shared" si="4"/>
        <v>52793.2847</v>
      </c>
      <c r="H29" s="29">
        <f t="shared" si="5"/>
        <v>609.5</v>
      </c>
      <c r="I29" s="64" t="s">
        <v>157</v>
      </c>
      <c r="J29" s="65" t="s">
        <v>158</v>
      </c>
      <c r="K29" s="64">
        <v>609.5</v>
      </c>
      <c r="L29" s="64" t="s">
        <v>159</v>
      </c>
      <c r="M29" s="65" t="s">
        <v>84</v>
      </c>
      <c r="N29" s="65" t="s">
        <v>85</v>
      </c>
      <c r="O29" s="66" t="s">
        <v>142</v>
      </c>
      <c r="P29" s="66" t="s">
        <v>46</v>
      </c>
    </row>
    <row r="30" spans="1:16" ht="12.75" customHeight="1" x14ac:dyDescent="0.2">
      <c r="A30" s="29" t="str">
        <f t="shared" si="0"/>
        <v> AAS 296,265ff </v>
      </c>
      <c r="B30" s="17" t="str">
        <f t="shared" si="1"/>
        <v>I</v>
      </c>
      <c r="C30" s="29">
        <f t="shared" si="2"/>
        <v>52793.523099999999</v>
      </c>
      <c r="D30" t="str">
        <f t="shared" si="3"/>
        <v>vis</v>
      </c>
      <c r="E30">
        <f>VLOOKUP(C30,Active!C$21:E$972,3,FALSE)</f>
        <v>4717.9672970105421</v>
      </c>
      <c r="F30" s="17" t="s">
        <v>63</v>
      </c>
      <c r="G30" t="str">
        <f t="shared" si="4"/>
        <v>52793.5231</v>
      </c>
      <c r="H30" s="29">
        <f t="shared" si="5"/>
        <v>610</v>
      </c>
      <c r="I30" s="64" t="s">
        <v>160</v>
      </c>
      <c r="J30" s="65" t="s">
        <v>161</v>
      </c>
      <c r="K30" s="64">
        <v>610</v>
      </c>
      <c r="L30" s="64" t="s">
        <v>162</v>
      </c>
      <c r="M30" s="65" t="s">
        <v>84</v>
      </c>
      <c r="N30" s="65" t="s">
        <v>85</v>
      </c>
      <c r="O30" s="66" t="s">
        <v>142</v>
      </c>
      <c r="P30" s="66" t="s">
        <v>46</v>
      </c>
    </row>
    <row r="31" spans="1:16" ht="12.75" customHeight="1" x14ac:dyDescent="0.2">
      <c r="A31" s="29" t="str">
        <f t="shared" si="0"/>
        <v> AAS 296,265ff </v>
      </c>
      <c r="B31" s="17" t="str">
        <f t="shared" si="1"/>
        <v>I</v>
      </c>
      <c r="C31" s="29">
        <f t="shared" si="2"/>
        <v>52795.445599999999</v>
      </c>
      <c r="D31" t="str">
        <f t="shared" si="3"/>
        <v>vis</v>
      </c>
      <c r="E31">
        <f>VLOOKUP(C31,Active!C$21:E$972,3,FALSE)</f>
        <v>4721.9667561214055</v>
      </c>
      <c r="F31" s="17" t="s">
        <v>63</v>
      </c>
      <c r="G31" t="str">
        <f t="shared" si="4"/>
        <v>52795.4456</v>
      </c>
      <c r="H31" s="29">
        <f t="shared" si="5"/>
        <v>614</v>
      </c>
      <c r="I31" s="64" t="s">
        <v>163</v>
      </c>
      <c r="J31" s="65" t="s">
        <v>164</v>
      </c>
      <c r="K31" s="64">
        <v>614</v>
      </c>
      <c r="L31" s="64" t="s">
        <v>105</v>
      </c>
      <c r="M31" s="65" t="s">
        <v>84</v>
      </c>
      <c r="N31" s="65" t="s">
        <v>85</v>
      </c>
      <c r="O31" s="66" t="s">
        <v>142</v>
      </c>
      <c r="P31" s="66" t="s">
        <v>46</v>
      </c>
    </row>
    <row r="32" spans="1:16" ht="12.75" customHeight="1" x14ac:dyDescent="0.2">
      <c r="A32" s="29" t="str">
        <f t="shared" si="0"/>
        <v>VSB 46 </v>
      </c>
      <c r="B32" s="17" t="str">
        <f t="shared" si="1"/>
        <v>II</v>
      </c>
      <c r="C32" s="29">
        <f t="shared" si="2"/>
        <v>54136.323900000003</v>
      </c>
      <c r="D32" t="str">
        <f t="shared" si="3"/>
        <v>vis</v>
      </c>
      <c r="E32">
        <f>VLOOKUP(C32,Active!C$21:E$972,3,FALSE)</f>
        <v>7511.4533275083777</v>
      </c>
      <c r="F32" s="17" t="s">
        <v>63</v>
      </c>
      <c r="G32" t="str">
        <f t="shared" si="4"/>
        <v>54136.3239</v>
      </c>
      <c r="H32" s="29">
        <f t="shared" si="5"/>
        <v>3403.5</v>
      </c>
      <c r="I32" s="64" t="s">
        <v>165</v>
      </c>
      <c r="J32" s="65" t="s">
        <v>166</v>
      </c>
      <c r="K32" s="64">
        <v>3403.5</v>
      </c>
      <c r="L32" s="64" t="s">
        <v>167</v>
      </c>
      <c r="M32" s="65" t="s">
        <v>115</v>
      </c>
      <c r="N32" s="65" t="s">
        <v>64</v>
      </c>
      <c r="O32" s="66" t="s">
        <v>168</v>
      </c>
      <c r="P32" s="67" t="s">
        <v>54</v>
      </c>
    </row>
    <row r="33" spans="1:16" ht="12.75" customHeight="1" x14ac:dyDescent="0.2">
      <c r="A33" s="29" t="str">
        <f t="shared" si="0"/>
        <v>VSB 46 </v>
      </c>
      <c r="B33" s="17" t="str">
        <f t="shared" si="1"/>
        <v>I</v>
      </c>
      <c r="C33" s="29">
        <f t="shared" si="2"/>
        <v>54223.090100000001</v>
      </c>
      <c r="D33" t="str">
        <f t="shared" si="3"/>
        <v>vis</v>
      </c>
      <c r="E33">
        <f>VLOOKUP(C33,Active!C$21:E$972,3,FALSE)</f>
        <v>7691.9567704757756</v>
      </c>
      <c r="F33" s="17" t="s">
        <v>63</v>
      </c>
      <c r="G33" t="str">
        <f t="shared" si="4"/>
        <v>54223.0901</v>
      </c>
      <c r="H33" s="29">
        <f t="shared" si="5"/>
        <v>3584</v>
      </c>
      <c r="I33" s="64" t="s">
        <v>169</v>
      </c>
      <c r="J33" s="65" t="s">
        <v>170</v>
      </c>
      <c r="K33" s="64">
        <v>3584</v>
      </c>
      <c r="L33" s="64" t="s">
        <v>171</v>
      </c>
      <c r="M33" s="65" t="s">
        <v>115</v>
      </c>
      <c r="N33" s="65" t="s">
        <v>64</v>
      </c>
      <c r="O33" s="66" t="s">
        <v>172</v>
      </c>
      <c r="P33" s="67" t="s">
        <v>54</v>
      </c>
    </row>
    <row r="34" spans="1:16" ht="12.75" customHeight="1" x14ac:dyDescent="0.2">
      <c r="A34" s="29" t="str">
        <f t="shared" si="0"/>
        <v>VSB 51 </v>
      </c>
      <c r="B34" s="17" t="str">
        <f t="shared" si="1"/>
        <v>I</v>
      </c>
      <c r="C34" s="29">
        <f t="shared" si="2"/>
        <v>55332.995900000002</v>
      </c>
      <c r="D34" t="str">
        <f t="shared" si="3"/>
        <v>vis</v>
      </c>
      <c r="E34">
        <f>VLOOKUP(C34,Active!C$21:E$972,3,FALSE)</f>
        <v>10000.941355135328</v>
      </c>
      <c r="F34" s="17" t="s">
        <v>63</v>
      </c>
      <c r="G34" t="str">
        <f t="shared" si="4"/>
        <v>55332.9959</v>
      </c>
      <c r="H34" s="29">
        <f t="shared" si="5"/>
        <v>5893</v>
      </c>
      <c r="I34" s="64" t="s">
        <v>173</v>
      </c>
      <c r="J34" s="65" t="s">
        <v>174</v>
      </c>
      <c r="K34" s="64">
        <v>5893</v>
      </c>
      <c r="L34" s="64" t="s">
        <v>167</v>
      </c>
      <c r="M34" s="65" t="s">
        <v>115</v>
      </c>
      <c r="N34" s="65" t="s">
        <v>175</v>
      </c>
      <c r="O34" s="66" t="s">
        <v>172</v>
      </c>
      <c r="P34" s="67" t="s">
        <v>58</v>
      </c>
    </row>
    <row r="35" spans="1:16" ht="12.75" customHeight="1" x14ac:dyDescent="0.2">
      <c r="A35" s="29" t="str">
        <f t="shared" si="0"/>
        <v>VSB 59 </v>
      </c>
      <c r="B35" s="17" t="str">
        <f t="shared" si="1"/>
        <v>I</v>
      </c>
      <c r="C35" s="29">
        <f t="shared" si="2"/>
        <v>56787.0743</v>
      </c>
      <c r="D35" t="str">
        <f t="shared" si="3"/>
        <v>vis</v>
      </c>
      <c r="E35">
        <f>VLOOKUP(C35,Active!C$21:E$972,3,FALSE)</f>
        <v>13025.922944101187</v>
      </c>
      <c r="F35" s="17" t="s">
        <v>63</v>
      </c>
      <c r="G35" t="str">
        <f t="shared" si="4"/>
        <v>56787.0743</v>
      </c>
      <c r="H35" s="29">
        <f t="shared" si="5"/>
        <v>8918</v>
      </c>
      <c r="I35" s="64" t="s">
        <v>176</v>
      </c>
      <c r="J35" s="65" t="s">
        <v>177</v>
      </c>
      <c r="K35" s="64" t="s">
        <v>178</v>
      </c>
      <c r="L35" s="64" t="s">
        <v>179</v>
      </c>
      <c r="M35" s="65" t="s">
        <v>115</v>
      </c>
      <c r="N35" s="65" t="s">
        <v>61</v>
      </c>
      <c r="O35" s="66" t="s">
        <v>172</v>
      </c>
      <c r="P35" s="67" t="s">
        <v>62</v>
      </c>
    </row>
    <row r="36" spans="1:16" ht="12.75" customHeight="1" x14ac:dyDescent="0.2">
      <c r="A36" s="29" t="str">
        <f t="shared" si="0"/>
        <v>VSB 59 </v>
      </c>
      <c r="B36" s="17" t="str">
        <f t="shared" si="1"/>
        <v>I</v>
      </c>
      <c r="C36" s="29">
        <f t="shared" si="2"/>
        <v>56787.075199999999</v>
      </c>
      <c r="D36" t="str">
        <f t="shared" si="3"/>
        <v>vis</v>
      </c>
      <c r="E36">
        <f>VLOOKUP(C36,Active!C$21:E$972,3,FALSE)</f>
        <v>13025.924816409741</v>
      </c>
      <c r="F36" s="17" t="s">
        <v>63</v>
      </c>
      <c r="G36" t="str">
        <f t="shared" si="4"/>
        <v>56787.0752</v>
      </c>
      <c r="H36" s="29">
        <f t="shared" si="5"/>
        <v>8918</v>
      </c>
      <c r="I36" s="64" t="s">
        <v>180</v>
      </c>
      <c r="J36" s="65" t="s">
        <v>181</v>
      </c>
      <c r="K36" s="64" t="s">
        <v>178</v>
      </c>
      <c r="L36" s="64" t="s">
        <v>182</v>
      </c>
      <c r="M36" s="65" t="s">
        <v>115</v>
      </c>
      <c r="N36" s="65" t="s">
        <v>63</v>
      </c>
      <c r="O36" s="66" t="s">
        <v>172</v>
      </c>
      <c r="P36" s="67" t="s">
        <v>62</v>
      </c>
    </row>
    <row r="37" spans="1:16" ht="12.75" customHeight="1" x14ac:dyDescent="0.2">
      <c r="A37" s="29" t="str">
        <f t="shared" si="0"/>
        <v>VSB 59 </v>
      </c>
      <c r="B37" s="17" t="str">
        <f t="shared" si="1"/>
        <v>I</v>
      </c>
      <c r="C37" s="29">
        <f t="shared" si="2"/>
        <v>56787.076200000003</v>
      </c>
      <c r="D37" t="str">
        <f t="shared" si="3"/>
        <v>vis</v>
      </c>
      <c r="E37">
        <f>VLOOKUP(C37,Active!C$21:E$972,3,FALSE)</f>
        <v>13025.92689675259</v>
      </c>
      <c r="F37" s="17" t="s">
        <v>63</v>
      </c>
      <c r="G37" t="str">
        <f t="shared" si="4"/>
        <v>56787.0762</v>
      </c>
      <c r="H37" s="29">
        <f t="shared" si="5"/>
        <v>8918</v>
      </c>
      <c r="I37" s="64" t="s">
        <v>183</v>
      </c>
      <c r="J37" s="65" t="s">
        <v>184</v>
      </c>
      <c r="K37" s="64" t="s">
        <v>178</v>
      </c>
      <c r="L37" s="64" t="s">
        <v>167</v>
      </c>
      <c r="M37" s="65" t="s">
        <v>115</v>
      </c>
      <c r="N37" s="65" t="s">
        <v>64</v>
      </c>
      <c r="O37" s="66" t="s">
        <v>172</v>
      </c>
      <c r="P37" s="67" t="s">
        <v>62</v>
      </c>
    </row>
  </sheetData>
  <sheetProtection selectLockedCells="1" selectUnlockedCells="1"/>
  <hyperlinks>
    <hyperlink ref="P11" r:id="rId1"/>
    <hyperlink ref="P12" r:id="rId2"/>
    <hyperlink ref="P13" r:id="rId3"/>
    <hyperlink ref="P14" r:id="rId4"/>
    <hyperlink ref="P15" r:id="rId5"/>
    <hyperlink ref="P16" r:id="rId6"/>
    <hyperlink ref="P17" r:id="rId7"/>
    <hyperlink ref="P18" r:id="rId8"/>
    <hyperlink ref="P19" r:id="rId9"/>
    <hyperlink ref="P20" r:id="rId10"/>
    <hyperlink ref="P21" r:id="rId11"/>
    <hyperlink ref="P22" r:id="rId12"/>
    <hyperlink ref="P32" r:id="rId13"/>
    <hyperlink ref="P33" r:id="rId14"/>
    <hyperlink ref="P34" r:id="rId15"/>
    <hyperlink ref="P35" r:id="rId16"/>
    <hyperlink ref="P36" r:id="rId17"/>
    <hyperlink ref="P37" r:id="rId18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2022-04-03T03:16:12Z</dcterms:created>
  <dcterms:modified xsi:type="dcterms:W3CDTF">2023-01-25T23:58:17Z</dcterms:modified>
</cp:coreProperties>
</file>