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FB724409-9573-4DB2-828B-1DB7E76BE7E0}" xr6:coauthVersionLast="47" xr6:coauthVersionMax="47" xr10:uidLastSave="{00000000-0000-0000-0000-000000000000}"/>
  <bookViews>
    <workbookView xWindow="13875" yWindow="870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Q26" i="1"/>
  <c r="E22" i="1"/>
  <c r="F22" i="1"/>
  <c r="G22" i="1" s="1"/>
  <c r="E25" i="1"/>
  <c r="F25" i="1" s="1"/>
  <c r="G25" i="1" s="1"/>
  <c r="E24" i="1"/>
  <c r="F24" i="1" s="1"/>
  <c r="G24" i="1" s="1"/>
  <c r="E23" i="1"/>
  <c r="F23" i="1" s="1"/>
  <c r="G23" i="1" s="1"/>
  <c r="Q22" i="1"/>
  <c r="Q25" i="1"/>
  <c r="Q24" i="1"/>
  <c r="Q23" i="1"/>
  <c r="C21" i="1"/>
  <c r="A21" i="1"/>
  <c r="C13" i="1"/>
  <c r="F12" i="1"/>
  <c r="F13" i="1" s="1"/>
  <c r="D14" i="1"/>
  <c r="D13" i="1"/>
  <c r="C14" i="1"/>
  <c r="C17" i="1"/>
  <c r="Q21" i="1"/>
  <c r="E21" i="1"/>
  <c r="F21" i="1"/>
  <c r="G21" i="1" s="1"/>
  <c r="S23" i="1" l="1"/>
  <c r="I23" i="1"/>
  <c r="R21" i="1"/>
  <c r="H21" i="1"/>
  <c r="R24" i="1"/>
  <c r="I24" i="1"/>
  <c r="I25" i="1"/>
  <c r="R25" i="1"/>
  <c r="I22" i="1"/>
  <c r="R22" i="1"/>
  <c r="J26" i="1"/>
  <c r="S26" i="1"/>
  <c r="C11" i="1"/>
  <c r="C12" i="1"/>
  <c r="D11" i="1"/>
  <c r="D12" i="1"/>
  <c r="C16" i="1" l="1"/>
  <c r="D18" i="1" s="1"/>
  <c r="O23" i="1"/>
  <c r="O24" i="1"/>
  <c r="O26" i="1"/>
  <c r="O22" i="1"/>
  <c r="C15" i="1"/>
  <c r="C18" i="1" s="1"/>
  <c r="O21" i="1"/>
  <c r="O25" i="1"/>
  <c r="R19" i="1"/>
  <c r="E18" i="1" s="1"/>
  <c r="D16" i="1"/>
  <c r="P26" i="1"/>
  <c r="P24" i="1"/>
  <c r="D15" i="1"/>
  <c r="P25" i="1"/>
  <c r="P23" i="1"/>
  <c r="P21" i="1"/>
  <c r="P22" i="1"/>
  <c r="S19" i="1"/>
  <c r="E19" i="1" s="1"/>
  <c r="F14" i="1" l="1"/>
  <c r="F15" i="1" s="1"/>
</calcChain>
</file>

<file path=xl/sharedStrings.xml><?xml version="1.0" encoding="utf-8"?>
<sst xmlns="http://schemas.openxmlformats.org/spreadsheetml/2006/main" count="64" uniqueCount="56">
  <si>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</si>
  <si>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</si>
  <si>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</si>
  <si>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</si>
  <si>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</si>
  <si>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</si>
  <si>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</si>
  <si>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</si>
  <si>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</si>
  <si>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</si>
  <si>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</si>
  <si>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</si>
  <si>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</si>
  <si>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</si>
  <si>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</si>
  <si>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</si>
  <si>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</si>
  <si>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</si>
  <si>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</si>
  <si>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</si>
  <si>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</si>
  <si>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</si>
  <si>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</si>
  <si>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</si>
  <si>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</si>
  <si>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</si>
  <si>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</si>
  <si>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</si>
  <si>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</si>
  <si>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</si>
  <si>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</si>
  <si>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</si>
  <si>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</si>
  <si>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Local time</t>
  </si>
  <si>
    <t>Add cycle</t>
  </si>
  <si>
    <t>JD today</t>
  </si>
  <si>
    <t>Old Cycle</t>
  </si>
  <si>
    <t>New Cycle</t>
  </si>
  <si>
    <t>Next ToM</t>
  </si>
  <si>
    <t>G0881-0920_Vir.xls</t>
  </si>
  <si>
    <t>[GGM2006]</t>
  </si>
  <si>
    <t>Constell:</t>
  </si>
  <si>
    <t>Vir</t>
  </si>
  <si>
    <t>G0881-0920</t>
  </si>
  <si>
    <t>not avail.</t>
  </si>
  <si>
    <t>VSX</t>
  </si>
  <si>
    <t>IBVS 5945</t>
  </si>
  <si>
    <t>II</t>
  </si>
  <si>
    <t>IBVS 6029</t>
  </si>
  <si>
    <t>IBVS 5992</t>
  </si>
  <si>
    <t>My time zone &gt;&gt;&gt;&gt;&gt;&gt;</t>
  </si>
  <si>
    <t>JBAV, 60</t>
  </si>
  <si>
    <t>I</t>
  </si>
  <si>
    <t>V0624 Vir / GSC 0881-0920</t>
  </si>
  <si>
    <t>JBAV</t>
  </si>
  <si>
    <t>IBVS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</si>
</sst>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10" fillId="0" borderId="0" xfId="0" applyFont="1" applyAlignment="1">
      <alignment horizontal="center"/>
    </xf>
    <xf numFmtId="0" fontId="5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/>
    <xf numFmtId="0" fontId="15" fillId="0" borderId="4" xfId="0" applyFont="1" applyBorder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0881-0920 - Prim. O-C Diagr.</a:t>
            </a:r>
          </a:p>
        </c:rich>
      </c:tx>
      <c:layout>
        <c:manualLayout>
          <c:xMode val="edge"/>
          <c:yMode val="edge"/>
          <c:x val="0.234927453195169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1.2839999792049639E-2</c:v>
                </c:pt>
                <c:pt idx="3">
                  <c:v>2.7179999800864607E-2</c:v>
                </c:pt>
                <c:pt idx="4">
                  <c:v>2.5639999796112534E-2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6B-4BC9-8EBA-E221CF0E8B71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2.1336620780147697E-4</c:v>
                </c:pt>
                <c:pt idx="1">
                  <c:v>1.2565895186872742E-2</c:v>
                </c:pt>
                <c:pt idx="2">
                  <c:v>1.8888160198009145E-2</c:v>
                </c:pt>
                <c:pt idx="3">
                  <c:v>2.5803275812009283E-2</c:v>
                </c:pt>
                <c:pt idx="4">
                  <c:v>2.7077462182343283E-2</c:v>
                </c:pt>
                <c:pt idx="5">
                  <c:v>8.8543681776267744E-2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B-4BC9-8EBA-E221CF0E8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58152"/>
        <c:axId val="1"/>
      </c:scatterChart>
      <c:valAx>
        <c:axId val="874858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858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0881-0920 -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2-4BB8-9C4C-6F2B4D4D8C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1.2839999792049639E-2</c:v>
                </c:pt>
                <c:pt idx="2">
                  <c:v>-9.0455000201473013E-2</c:v>
                </c:pt>
                <c:pt idx="3">
                  <c:v>2.7179999800864607E-2</c:v>
                </c:pt>
                <c:pt idx="4">
                  <c:v>2.5639999796112534E-2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32-4BB8-9C4C-6F2B4D4D8C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5">
                  <c:v>-9.5750002074055374E-3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32-4BB8-9C4C-6F2B4D4D8C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32-4BB8-9C4C-6F2B4D4D8C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32-4BB8-9C4C-6F2B4D4D8C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32-4BB8-9C4C-6F2B4D4D8C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32-4BB8-9C4C-6F2B4D4D8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57496"/>
        <c:axId val="1"/>
      </c:scatterChart>
      <c:valAx>
        <c:axId val="874857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857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6451612903228"/>
          <c:y val="0.92097264437689974"/>
          <c:w val="0.377419354838709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0881-0920 -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2">
                  <c:v>-9.0455000201473013E-2</c:v>
                </c:pt>
                <c:pt idx="5">
                  <c:v>-9.5750002074055374E-3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6-481F-9700-C8EB8384E3CD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-0.1121391008096386</c:v>
                </c:pt>
                <c:pt idx="1">
                  <c:v>-9.7796052030202849E-2</c:v>
                </c:pt>
                <c:pt idx="2">
                  <c:v>-9.0455000201473026E-2</c:v>
                </c:pt>
                <c:pt idx="3">
                  <c:v>-8.2425564226452225E-2</c:v>
                </c:pt>
                <c:pt idx="4">
                  <c:v>-8.0946052031438787E-2</c:v>
                </c:pt>
                <c:pt idx="5">
                  <c:v>-9.5750002074055512E-3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46-481F-9700-C8EB8384E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94136"/>
        <c:axId val="1"/>
      </c:scatterChart>
      <c:valAx>
        <c:axId val="512994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94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5D7A60D-413C-8F56-962B-B30073657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257175</xdr:colOff>
      <xdr:row>0</xdr:row>
      <xdr:rowOff>0</xdr:rowOff>
    </xdr:from>
    <xdr:to>
      <xdr:col>29</xdr:col>
      <xdr:colOff>676275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9F42327-9870-8781-8549-16CE0DE42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A4C85CBE-F7EE-2E4B-512A-AE238BED4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K36" sqref="K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710937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7" t="s">
        <v>53</v>
      </c>
      <c r="E1" t="s">
        <v>39</v>
      </c>
    </row>
    <row r="2" spans="1:6" x14ac:dyDescent="0.2">
      <c r="A2" t="s">
        <v>17</v>
      </c>
      <c r="B2" s="9" t="s">
        <v>40</v>
      </c>
      <c r="C2" t="s">
        <v>41</v>
      </c>
      <c r="D2" t="s">
        <v>42</v>
      </c>
      <c r="E2" t="s">
        <v>43</v>
      </c>
    </row>
    <row r="3" spans="1:6" ht="13.5" thickBot="1" x14ac:dyDescent="0.25">
      <c r="C3" s="10"/>
    </row>
    <row r="4" spans="1:6" ht="14.25" thickTop="1" thickBot="1" x14ac:dyDescent="0.25">
      <c r="A4" s="5" t="s">
        <v>0</v>
      </c>
      <c r="C4" s="2" t="s">
        <v>44</v>
      </c>
      <c r="D4" s="3" t="s">
        <v>44</v>
      </c>
    </row>
    <row r="5" spans="1:6" ht="13.5" thickTop="1" x14ac:dyDescent="0.2">
      <c r="A5" s="30" t="s">
        <v>50</v>
      </c>
      <c r="B5" s="24"/>
      <c r="C5" s="31">
        <v>-9.5</v>
      </c>
      <c r="D5" s="24"/>
    </row>
    <row r="6" spans="1:6" x14ac:dyDescent="0.2">
      <c r="A6" s="5" t="s">
        <v>1</v>
      </c>
    </row>
    <row r="7" spans="1:6" x14ac:dyDescent="0.2">
      <c r="A7" t="s">
        <v>2</v>
      </c>
      <c r="C7">
        <v>54623.595000000205</v>
      </c>
      <c r="D7" t="s">
        <v>45</v>
      </c>
    </row>
    <row r="8" spans="1:6" x14ac:dyDescent="0.2">
      <c r="A8" t="s">
        <v>3</v>
      </c>
      <c r="C8">
        <v>0.47071000000000002</v>
      </c>
      <c r="D8" t="s">
        <v>45</v>
      </c>
    </row>
    <row r="9" spans="1:6" x14ac:dyDescent="0.2">
      <c r="A9" s="22" t="s">
        <v>30</v>
      </c>
      <c r="B9" s="22"/>
      <c r="C9" s="23">
        <v>21</v>
      </c>
      <c r="D9" s="23">
        <v>21</v>
      </c>
    </row>
    <row r="10" spans="1:6" ht="13.5" thickBot="1" x14ac:dyDescent="0.25">
      <c r="A10" s="24"/>
      <c r="B10" s="24"/>
      <c r="C10" s="4" t="s">
        <v>19</v>
      </c>
      <c r="D10" s="4" t="s">
        <v>20</v>
      </c>
    </row>
    <row r="11" spans="1:6" x14ac:dyDescent="0.2">
      <c r="A11" s="24" t="s">
        <v>14</v>
      </c>
      <c r="B11" s="24"/>
      <c r="C11" s="25">
        <f ca="1">INTERCEPT(INDIRECT(C14):R$935,INDIRECT(C13):$F$935)</f>
        <v>2.1336620780147697E-4</v>
      </c>
      <c r="D11" s="25">
        <f ca="1">INTERCEPT(INDIRECT(D14):S$935,INDIRECT(D13):$F$935)</f>
        <v>-0.1121391008096386</v>
      </c>
      <c r="E11" s="22" t="s">
        <v>34</v>
      </c>
      <c r="F11">
        <v>1</v>
      </c>
    </row>
    <row r="12" spans="1:6" x14ac:dyDescent="0.2">
      <c r="A12" s="24" t="s">
        <v>15</v>
      </c>
      <c r="B12" s="24"/>
      <c r="C12" s="25">
        <f ca="1">SLOPE(INDIRECT(C14):R$935,INDIRECT(C13):$F$935)</f>
        <v>8.8485164606527685E-6</v>
      </c>
      <c r="D12" s="25">
        <f ca="1">SLOPE(INDIRECT(D14):S$935,INDIRECT(D13):$F$935)</f>
        <v>1.0274390243148816E-5</v>
      </c>
      <c r="E12" s="22" t="s">
        <v>35</v>
      </c>
      <c r="F12" s="32">
        <f ca="1">NOW()+15018.5+$C$5/24</f>
        <v>59970.554484259257</v>
      </c>
    </row>
    <row r="13" spans="1:6" x14ac:dyDescent="0.2">
      <c r="A13" s="22" t="s">
        <v>31</v>
      </c>
      <c r="B13" s="22"/>
      <c r="C13" s="23" t="str">
        <f>"F"&amp;C9</f>
        <v>F21</v>
      </c>
      <c r="D13" s="23" t="str">
        <f>"F"&amp;D9</f>
        <v>F21</v>
      </c>
      <c r="E13" s="22" t="s">
        <v>36</v>
      </c>
      <c r="F13" s="32">
        <f ca="1">ROUND(2*(F12-$C$7)/$C$8,0)/2+F11</f>
        <v>11360.5</v>
      </c>
    </row>
    <row r="14" spans="1:6" x14ac:dyDescent="0.2">
      <c r="A14" s="22" t="s">
        <v>32</v>
      </c>
      <c r="B14" s="22"/>
      <c r="C14" s="23" t="str">
        <f>"R"&amp;C9</f>
        <v>R21</v>
      </c>
      <c r="D14" s="23" t="str">
        <f>"S"&amp;D9</f>
        <v>S21</v>
      </c>
      <c r="E14" s="22" t="s">
        <v>37</v>
      </c>
      <c r="F14" s="33">
        <f ca="1">ROUND(2*(F12-$C$15)/$C$16,0)/2+F11</f>
        <v>1378</v>
      </c>
    </row>
    <row r="15" spans="1:6" x14ac:dyDescent="0.2">
      <c r="A15" s="26" t="s">
        <v>16</v>
      </c>
      <c r="B15" s="24"/>
      <c r="C15" s="27">
        <f ca="1">($C7+C11)+($C8+C12)*INT(MAX($F21:$F3533))</f>
        <v>59322.310759257722</v>
      </c>
      <c r="D15" s="27">
        <f ca="1">($C7+D11)+($C8+D12)*INT(MAX($F21:$F3533))</f>
        <v>59322.212639862802</v>
      </c>
      <c r="E15" s="22" t="s">
        <v>38</v>
      </c>
      <c r="F15" s="34">
        <f ca="1">+$C$15+$C$16*F14-15018.5-$C$5/24</f>
        <v>44952.857165846741</v>
      </c>
    </row>
    <row r="16" spans="1:6" x14ac:dyDescent="0.2">
      <c r="A16" s="28" t="s">
        <v>4</v>
      </c>
      <c r="B16" s="24"/>
      <c r="C16" s="29">
        <f ca="1">+$C8+C12</f>
        <v>0.47071884851646068</v>
      </c>
      <c r="D16" s="25">
        <f ca="1">+$C8+D12</f>
        <v>0.47072027439024317</v>
      </c>
      <c r="E16" s="35"/>
      <c r="F16" s="35" t="s">
        <v>33</v>
      </c>
    </row>
    <row r="17" spans="1:19" ht="13.5" thickBot="1" x14ac:dyDescent="0.25">
      <c r="A17" s="21" t="s">
        <v>29</v>
      </c>
      <c r="C17">
        <f>COUNT(C21:C1247)</f>
        <v>6</v>
      </c>
    </row>
    <row r="18" spans="1:19" ht="14.25" thickTop="1" thickBot="1" x14ac:dyDescent="0.25">
      <c r="A18" s="5" t="s">
        <v>22</v>
      </c>
      <c r="C18" s="2">
        <f ca="1">+C15</f>
        <v>59322.310759257722</v>
      </c>
      <c r="D18" s="3">
        <f ca="1">+C16</f>
        <v>0.47071884851646068</v>
      </c>
      <c r="E18" s="36">
        <f>R19</f>
        <v>4</v>
      </c>
    </row>
    <row r="19" spans="1:19" ht="14.25" thickTop="1" thickBot="1" x14ac:dyDescent="0.25">
      <c r="A19" s="5" t="s">
        <v>23</v>
      </c>
      <c r="C19" s="42">
        <v>55616.938000000002</v>
      </c>
      <c r="D19" s="43">
        <v>0.47071884851646068</v>
      </c>
      <c r="E19" s="36">
        <f>S19</f>
        <v>2</v>
      </c>
      <c r="R19">
        <f>COUNT(R21:R322)</f>
        <v>4</v>
      </c>
      <c r="S19">
        <f>COUNT(S21:S322)</f>
        <v>2</v>
      </c>
    </row>
    <row r="20" spans="1:19" ht="14.25" thickTop="1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55</v>
      </c>
      <c r="J20" s="7" t="s">
        <v>54</v>
      </c>
      <c r="K20" s="7" t="s">
        <v>26</v>
      </c>
      <c r="L20" s="7" t="s">
        <v>27</v>
      </c>
      <c r="M20" s="7" t="s">
        <v>18</v>
      </c>
      <c r="N20" s="7" t="s">
        <v>21</v>
      </c>
      <c r="O20" s="7" t="s">
        <v>24</v>
      </c>
      <c r="P20" s="6" t="s">
        <v>25</v>
      </c>
      <c r="Q20" s="4" t="s">
        <v>13</v>
      </c>
      <c r="R20" s="8" t="s">
        <v>19</v>
      </c>
      <c r="S20" s="8" t="s">
        <v>20</v>
      </c>
    </row>
    <row r="21" spans="1:19" x14ac:dyDescent="0.2">
      <c r="A21" t="str">
        <f>D7</f>
        <v>VSX</v>
      </c>
      <c r="C21" s="15">
        <f>C$7</f>
        <v>54623.595000000205</v>
      </c>
      <c r="D21" s="15" t="s">
        <v>28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2.1336620780147697E-4</v>
      </c>
      <c r="P21">
        <f ca="1">+D$11+D$12*$F21</f>
        <v>-0.1121391008096386</v>
      </c>
      <c r="Q21" s="1">
        <f>+C21-15018.5</f>
        <v>39605.095000000205</v>
      </c>
      <c r="R21">
        <f>G21</f>
        <v>0</v>
      </c>
    </row>
    <row r="22" spans="1:19" x14ac:dyDescent="0.2">
      <c r="A22" s="20" t="s">
        <v>46</v>
      </c>
      <c r="B22" s="37" t="s">
        <v>52</v>
      </c>
      <c r="C22" s="20">
        <v>55280.718999999997</v>
      </c>
      <c r="D22" s="20">
        <v>5.0000000000000001E-4</v>
      </c>
      <c r="E22">
        <f>+(C22-C$7)/C$8</f>
        <v>1396.0272779413915</v>
      </c>
      <c r="F22">
        <f>ROUND(2*E22,0)/2</f>
        <v>1396</v>
      </c>
      <c r="G22">
        <f>+C22-(C$7+F22*C$8)</f>
        <v>1.2839999792049639E-2</v>
      </c>
      <c r="I22">
        <f>+G22</f>
        <v>1.2839999792049639E-2</v>
      </c>
      <c r="O22">
        <f ca="1">+C$11+C$12*$F22</f>
        <v>1.2565895186872742E-2</v>
      </c>
      <c r="P22">
        <f ca="1">+D$11+D$12*$F22</f>
        <v>-9.7796052030202849E-2</v>
      </c>
      <c r="Q22" s="1">
        <f>+C22-15018.5</f>
        <v>40262.218999999997</v>
      </c>
      <c r="R22">
        <f>G22</f>
        <v>1.2839999792049639E-2</v>
      </c>
    </row>
    <row r="23" spans="1:19" x14ac:dyDescent="0.2">
      <c r="A23" s="40" t="s">
        <v>49</v>
      </c>
      <c r="B23" s="41" t="s">
        <v>47</v>
      </c>
      <c r="C23" s="40">
        <v>55616.938000000002</v>
      </c>
      <c r="D23" s="40">
        <v>1E-4</v>
      </c>
      <c r="E23">
        <f>+(C23-C$7)/C$8</f>
        <v>2110.3078328478191</v>
      </c>
      <c r="F23">
        <f>ROUND(2*E23,0)/2</f>
        <v>2110.5</v>
      </c>
      <c r="G23">
        <f>+C23-(C$7+F23*C$8)</f>
        <v>-9.0455000201473013E-2</v>
      </c>
      <c r="I23">
        <f>+G23</f>
        <v>-9.0455000201473013E-2</v>
      </c>
      <c r="O23">
        <f ca="1">+C$11+C$12*$F23</f>
        <v>1.8888160198009145E-2</v>
      </c>
      <c r="P23">
        <f ca="1">+D$11+D$12*$F23</f>
        <v>-9.0455000201473026E-2</v>
      </c>
      <c r="Q23" s="1">
        <f>+C23-15018.5</f>
        <v>40598.438000000002</v>
      </c>
      <c r="S23">
        <f>G23</f>
        <v>-9.0455000201473013E-2</v>
      </c>
    </row>
    <row r="24" spans="1:19" x14ac:dyDescent="0.2">
      <c r="A24" s="38" t="s">
        <v>48</v>
      </c>
      <c r="B24" s="39" t="s">
        <v>52</v>
      </c>
      <c r="C24" s="38">
        <v>55984.915500000003</v>
      </c>
      <c r="D24" s="38">
        <v>6.9999999999999999E-4</v>
      </c>
      <c r="E24">
        <f>+(C24-C$7)/C$8</f>
        <v>2892.0577425586835</v>
      </c>
      <c r="F24">
        <f>ROUND(2*E24,0)/2</f>
        <v>2892</v>
      </c>
      <c r="G24">
        <f>+C24-(C$7+F24*C$8)</f>
        <v>2.7179999800864607E-2</v>
      </c>
      <c r="I24">
        <f>+G24</f>
        <v>2.7179999800864607E-2</v>
      </c>
      <c r="O24">
        <f ca="1">+C$11+C$12*$F24</f>
        <v>2.5803275812009283E-2</v>
      </c>
      <c r="P24">
        <f ca="1">+D$11+D$12*$F24</f>
        <v>-8.2425564226452225E-2</v>
      </c>
      <c r="Q24" s="1">
        <f>+C24-15018.5</f>
        <v>40966.415500000003</v>
      </c>
      <c r="R24">
        <f>G24</f>
        <v>2.7179999800864607E-2</v>
      </c>
    </row>
    <row r="25" spans="1:19" x14ac:dyDescent="0.2">
      <c r="A25" s="38" t="s">
        <v>48</v>
      </c>
      <c r="B25" s="39" t="s">
        <v>52</v>
      </c>
      <c r="C25" s="38">
        <v>56052.696199999998</v>
      </c>
      <c r="D25" s="38">
        <v>2.0000000000000001E-4</v>
      </c>
      <c r="E25">
        <f>+(C25-C$7)/C$8</f>
        <v>3036.0544709052147</v>
      </c>
      <c r="F25">
        <f>ROUND(2*E25,0)/2</f>
        <v>3036</v>
      </c>
      <c r="G25">
        <f>+C25-(C$7+F25*C$8)</f>
        <v>2.5639999796112534E-2</v>
      </c>
      <c r="I25">
        <f>+G25</f>
        <v>2.5639999796112534E-2</v>
      </c>
      <c r="O25">
        <f ca="1">+C$11+C$12*$F25</f>
        <v>2.7077462182343283E-2</v>
      </c>
      <c r="P25">
        <f ca="1">+D$11+D$12*$F25</f>
        <v>-8.0946052031438787E-2</v>
      </c>
      <c r="Q25" s="1">
        <f>+C25-15018.5</f>
        <v>41034.196199999998</v>
      </c>
      <c r="R25">
        <f>G25</f>
        <v>2.5639999796112534E-2</v>
      </c>
    </row>
    <row r="26" spans="1:19" x14ac:dyDescent="0.2">
      <c r="A26" s="44" t="s">
        <v>51</v>
      </c>
      <c r="B26" s="45" t="s">
        <v>47</v>
      </c>
      <c r="C26" s="46">
        <v>59322.447999999997</v>
      </c>
      <c r="D26" s="44">
        <v>5.5999999999999999E-3</v>
      </c>
      <c r="E26">
        <f>+(C26-C$7)/C$8</f>
        <v>9982.4796583879488</v>
      </c>
      <c r="F26">
        <f>ROUND(2*E26,0)/2</f>
        <v>9982.5</v>
      </c>
      <c r="G26">
        <f>+C26-(C$7+F26*C$8)</f>
        <v>-9.5750002074055374E-3</v>
      </c>
      <c r="J26">
        <f>+G26</f>
        <v>-9.5750002074055374E-3</v>
      </c>
      <c r="O26">
        <f ca="1">+C$11+C$12*$F26</f>
        <v>8.8543681776267744E-2</v>
      </c>
      <c r="P26">
        <f ca="1">+D$11+D$12*$F26</f>
        <v>-9.5750002074055512E-3</v>
      </c>
      <c r="Q26" s="1">
        <f>+C26-15018.5</f>
        <v>44303.947999999997</v>
      </c>
      <c r="S26">
        <f>G26</f>
        <v>-9.5750002074055374E-3</v>
      </c>
    </row>
    <row r="27" spans="1:19" x14ac:dyDescent="0.2">
      <c r="A27" s="11"/>
      <c r="B27" s="11"/>
      <c r="C27" s="12"/>
      <c r="D27" s="12"/>
      <c r="Q27" s="1"/>
    </row>
    <row r="28" spans="1:19" x14ac:dyDescent="0.2">
      <c r="A28" s="11"/>
      <c r="B28" s="11"/>
      <c r="C28" s="12"/>
      <c r="D28" s="12"/>
      <c r="Q28" s="1"/>
    </row>
    <row r="29" spans="1:19" x14ac:dyDescent="0.2">
      <c r="A29" s="16"/>
      <c r="B29" s="17"/>
      <c r="C29" s="18"/>
      <c r="D29" s="18"/>
      <c r="Q29" s="1"/>
    </row>
    <row r="30" spans="1:19" x14ac:dyDescent="0.2">
      <c r="A30" s="13"/>
      <c r="B30" s="14"/>
      <c r="C30" s="12"/>
      <c r="D30" s="15"/>
      <c r="Q30" s="1"/>
    </row>
    <row r="31" spans="1:19" x14ac:dyDescent="0.2">
      <c r="A31" s="16"/>
      <c r="B31" s="19"/>
      <c r="C31" s="12"/>
      <c r="D31" s="12"/>
      <c r="Q31" s="1"/>
    </row>
    <row r="32" spans="1:19" x14ac:dyDescent="0.2">
      <c r="A32" s="16"/>
      <c r="B32" s="19"/>
      <c r="C32" s="12"/>
      <c r="D32" s="12"/>
      <c r="Q32" s="1"/>
    </row>
    <row r="33" spans="1:17" x14ac:dyDescent="0.2">
      <c r="A33" s="20"/>
      <c r="B33" s="14"/>
      <c r="C33" s="12"/>
      <c r="D33" s="15"/>
      <c r="Q33" s="1"/>
    </row>
    <row r="34" spans="1:17" x14ac:dyDescent="0.2">
      <c r="A34" s="20"/>
      <c r="B34" s="14"/>
      <c r="C34" s="12"/>
      <c r="D34" s="15"/>
      <c r="Q34" s="1"/>
    </row>
    <row r="35" spans="1:17" x14ac:dyDescent="0.2">
      <c r="A35" s="20"/>
      <c r="B35" s="14"/>
      <c r="C35" s="12"/>
      <c r="D35" s="15"/>
      <c r="Q35" s="1"/>
    </row>
  </sheetData>
  <sortState xmlns:xlrd2="http://schemas.microsoft.com/office/spreadsheetml/2017/richdata2" ref="A21:S26">
    <sortCondition ref="C21:C26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2023-01-26T00:18:27Z</dcterms:modified>
</cp:coreProperties>
</file>