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8B1C7A7-8632-4A13-934C-834B9086322C}" xr6:coauthVersionLast="47" xr6:coauthVersionMax="47" xr10:uidLastSave="{00000000-0000-0000-0000-000000000000}"/>
  <bookViews>
    <workbookView xWindow="14340" yWindow="1080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/>
  <c r="K28" i="1"/>
  <c r="Q28" i="1"/>
  <c r="D9" i="1"/>
  <c r="C9" i="1"/>
  <c r="E22" i="1"/>
  <c r="F22" i="1"/>
  <c r="G22" i="1"/>
  <c r="K22" i="1"/>
  <c r="E23" i="1"/>
  <c r="F23" i="1"/>
  <c r="G23" i="1"/>
  <c r="E24" i="1"/>
  <c r="F24" i="1"/>
  <c r="G24" i="1"/>
  <c r="K24" i="1"/>
  <c r="E25" i="1"/>
  <c r="F25" i="1"/>
  <c r="G25" i="1"/>
  <c r="K25" i="1"/>
  <c r="F16" i="1"/>
  <c r="F17" i="1" s="1"/>
  <c r="C21" i="1"/>
  <c r="E21" i="1"/>
  <c r="F21" i="1"/>
  <c r="G21" i="1"/>
  <c r="I21" i="1"/>
  <c r="C17" i="1"/>
  <c r="A21" i="1"/>
  <c r="Q21" i="1"/>
  <c r="Q22" i="1"/>
  <c r="K23" i="1"/>
  <c r="Q23" i="1"/>
  <c r="Q24" i="1"/>
  <c r="Q25" i="1"/>
  <c r="C11" i="1"/>
  <c r="C12" i="1"/>
  <c r="O28" i="1" l="1"/>
  <c r="O27" i="1"/>
  <c r="O26" i="1"/>
  <c r="C16" i="1"/>
  <c r="D18" i="1" s="1"/>
  <c r="O25" i="1"/>
  <c r="O21" i="1"/>
  <c r="O23" i="1"/>
  <c r="O24" i="1"/>
  <c r="O22" i="1"/>
  <c r="C15" i="1"/>
  <c r="F18" i="1" s="1"/>
  <c r="C18" i="1" l="1"/>
  <c r="F19" i="1"/>
</calcChain>
</file>

<file path=xl/sharedStrings.xml><?xml version="1.0" encoding="utf-8"?>
<sst xmlns="http://schemas.openxmlformats.org/spreadsheetml/2006/main" count="67" uniqueCount="57">
  <si>
    <t>G4958-0697_Vir.xls</t>
  </si>
  <si>
    <t>System Type:</t>
  </si>
  <si>
    <t>EC</t>
  </si>
  <si>
    <t>Constell:</t>
  </si>
  <si>
    <t>Vir</t>
  </si>
  <si>
    <t>G4958-0697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</si>
  <si>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</si>
  <si>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</si>
  <si>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</si>
  <si>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</si>
  <si>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</si>
  <si>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</si>
  <si>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</si>
  <si>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</si>
  <si>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</si>
  <si>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</si>
  <si>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</si>
  <si>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</si>
  <si>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</si>
  <si>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</si>
  <si>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</si>
  <si>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</si>
  <si>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</si>
  <si>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</si>
  <si>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</si>
  <si>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</si>
  <si>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</si>
  <si>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</si>
  <si>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</si>
  <si>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</si>
  <si>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</si>
  <si>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</si>
  <si>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</si>
  <si>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</si>
  <si>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</si>
  <si>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</si>
  <si>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</si>
  <si>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S5</t>
  </si>
  <si>
    <t>S6</t>
  </si>
  <si>
    <t>Misc</t>
  </si>
  <si>
    <t>Lin Fit</t>
  </si>
  <si>
    <t>Q. Fit</t>
  </si>
  <si>
    <t>Date</t>
  </si>
  <si>
    <t>IBVS 5992</t>
  </si>
  <si>
    <t>II</t>
  </si>
  <si>
    <t>IBVS 6029</t>
  </si>
  <si>
    <t>I</t>
  </si>
  <si>
    <t>VSB 069</t>
  </si>
  <si>
    <t>Ic</t>
  </si>
  <si>
    <t>V0700 Vir / GSC 4958-0697</t>
  </si>
  <si>
    <t>pg</t>
  </si>
  <si>
    <t>vis</t>
  </si>
  <si>
    <t>PE</t>
  </si>
  <si>
    <t>CCD</t>
  </si>
  <si>
    <t>BAD?</t>
  </si>
  <si>
    <t>JBAV, 55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</si>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</sst>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\$#,##0_);&quot;($&quot;#,##0\)"/>
    <numFmt numFmtId="173" formatCode="m/d/yyyy\ h:mm"/>
    <numFmt numFmtId="176" formatCode="0.00000"/>
  </numFmts>
  <fonts count="13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1" fillId="0" borderId="0" applyFill="0" applyBorder="0" applyProtection="0">
      <alignment vertical="top"/>
    </xf>
    <xf numFmtId="172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1" fillId="0" borderId="0"/>
  </cellStyleXfs>
  <cellXfs count="3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2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173" fontId="7" fillId="0" borderId="0" xfId="0" applyNumberFormat="1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14" fontId="0" fillId="0" borderId="0" xfId="0" applyNumberFormat="1" applyAlignment="1"/>
    <xf numFmtId="14" fontId="0" fillId="0" borderId="3" xfId="0" applyNumberFormat="1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vertical="center" wrapText="1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V0700 Vir - O-C Diagr.</a:t>
            </a:r>
          </a:p>
        </c:rich>
      </c:tx>
      <c:layout>
        <c:manualLayout>
          <c:xMode val="edge"/>
          <c:yMode val="edge"/>
          <c:x val="0.36541353383458647"/>
          <c:y val="1.7543859649122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40601503759404E-2"/>
          <c:y val="0.10818744342631643"/>
          <c:w val="0.85563909774436087"/>
          <c:h val="0.716376314579662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9339</c:v>
                </c:pt>
                <c:pt idx="2">
                  <c:v>10260</c:v>
                </c:pt>
                <c:pt idx="3">
                  <c:v>10422.5</c:v>
                </c:pt>
                <c:pt idx="4">
                  <c:v>17545.5</c:v>
                </c:pt>
              </c:numCache>
            </c:numRef>
          </c:xVal>
          <c:yVal>
            <c:numRef>
              <c:f>Active!$H$21:$H$25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2C-4870-BB19-0629C6BFCB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9339</c:v>
                </c:pt>
                <c:pt idx="2">
                  <c:v>10260</c:v>
                </c:pt>
                <c:pt idx="3">
                  <c:v>10422.5</c:v>
                </c:pt>
                <c:pt idx="4">
                  <c:v>17545.5</c:v>
                </c:pt>
              </c:numCache>
            </c:numRef>
          </c:xVal>
          <c:yVal>
            <c:numRef>
              <c:f>Active!$I$21:$I$25</c:f>
              <c:numCache>
                <c:formatCode>General</c:formatCode>
                <c:ptCount val="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2C-4870-BB19-0629C6BFCB8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9339</c:v>
                </c:pt>
                <c:pt idx="2">
                  <c:v>10260</c:v>
                </c:pt>
                <c:pt idx="3">
                  <c:v>10422.5</c:v>
                </c:pt>
                <c:pt idx="4">
                  <c:v>17545.5</c:v>
                </c:pt>
              </c:numCache>
            </c:numRef>
          </c:xVal>
          <c:yVal>
            <c:numRef>
              <c:f>Active!$J$21:$J$25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2C-4870-BB19-0629C6BFCB8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9339</c:v>
                </c:pt>
                <c:pt idx="2">
                  <c:v>10260</c:v>
                </c:pt>
                <c:pt idx="3">
                  <c:v>10422.5</c:v>
                </c:pt>
                <c:pt idx="4">
                  <c:v>17545.5</c:v>
                </c:pt>
              </c:numCache>
            </c:numRef>
          </c:xVal>
          <c:yVal>
            <c:numRef>
              <c:f>Active!$K$21:$K$25</c:f>
              <c:numCache>
                <c:formatCode>General</c:formatCode>
                <c:ptCount val="5"/>
                <c:pt idx="1">
                  <c:v>3.2448999998450745E-2</c:v>
                </c:pt>
                <c:pt idx="2">
                  <c:v>2.3959999998623971E-2</c:v>
                </c:pt>
                <c:pt idx="3">
                  <c:v>2.5747500003490131E-2</c:v>
                </c:pt>
                <c:pt idx="4">
                  <c:v>3.7340500006393995E-2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2C-4870-BB19-0629C6BFCB8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9339</c:v>
                </c:pt>
                <c:pt idx="2">
                  <c:v>10260</c:v>
                </c:pt>
                <c:pt idx="3">
                  <c:v>10422.5</c:v>
                </c:pt>
                <c:pt idx="4">
                  <c:v>17545.5</c:v>
                </c:pt>
              </c:numCache>
            </c:numRef>
          </c:xVal>
          <c:yVal>
            <c:numRef>
              <c:f>Active!$L$21:$L$25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2C-4870-BB19-0629C6BFCB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9339</c:v>
                </c:pt>
                <c:pt idx="2">
                  <c:v>10260</c:v>
                </c:pt>
                <c:pt idx="3">
                  <c:v>10422.5</c:v>
                </c:pt>
                <c:pt idx="4">
                  <c:v>17545.5</c:v>
                </c:pt>
              </c:numCache>
            </c:numRef>
          </c:xVal>
          <c:yVal>
            <c:numRef>
              <c:f>Active!$M$21:$M$25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2C-4870-BB19-0629C6BFCB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9339</c:v>
                </c:pt>
                <c:pt idx="2">
                  <c:v>10260</c:v>
                </c:pt>
                <c:pt idx="3">
                  <c:v>10422.5</c:v>
                </c:pt>
                <c:pt idx="4">
                  <c:v>17545.5</c:v>
                </c:pt>
              </c:numCache>
            </c:numRef>
          </c:xVal>
          <c:yVal>
            <c:numRef>
              <c:f>Active!$N$21:$N$25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2C-4870-BB19-0629C6BFCB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9339</c:v>
                </c:pt>
                <c:pt idx="2">
                  <c:v>10260</c:v>
                </c:pt>
                <c:pt idx="3">
                  <c:v>10422.5</c:v>
                </c:pt>
                <c:pt idx="4">
                  <c:v>17545.5</c:v>
                </c:pt>
              </c:numCache>
            </c:numRef>
          </c:xVal>
          <c:yVal>
            <c:numRef>
              <c:f>Active!$O$21:$O$25</c:f>
              <c:numCache>
                <c:formatCode>General</c:formatCode>
                <c:ptCount val="5"/>
                <c:pt idx="0">
                  <c:v>2.2442715577926861E-3</c:v>
                </c:pt>
                <c:pt idx="1">
                  <c:v>2.540104835502344E-2</c:v>
                </c:pt>
                <c:pt idx="2">
                  <c:v>2.7684739481509093E-2</c:v>
                </c:pt>
                <c:pt idx="3">
                  <c:v>2.8087670869189788E-2</c:v>
                </c:pt>
                <c:pt idx="4">
                  <c:v>4.5749703327341053E-2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2C-4870-BB19-0629C6BFCB8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9339</c:v>
                </c:pt>
                <c:pt idx="2">
                  <c:v>10260</c:v>
                </c:pt>
                <c:pt idx="3">
                  <c:v>10422.5</c:v>
                </c:pt>
                <c:pt idx="4">
                  <c:v>17545.5</c:v>
                </c:pt>
              </c:numCache>
            </c:numRef>
          </c:xVal>
          <c:yVal>
            <c:numRef>
              <c:f>Active!$U$21:$U$25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2C-4870-BB19-0629C6BFC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642712"/>
        <c:axId val="1"/>
      </c:scatterChart>
      <c:valAx>
        <c:axId val="842642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879699248120306"/>
              <c:y val="0.921055394391490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0225563909774441E-3"/>
              <c:y val="0.377194210372826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642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4436090225564"/>
          <c:y val="0.91813141778330343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C2EB36-51D7-2323-3E54-FC1A439A1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1" style="1" customWidth="1"/>
    <col min="6" max="6" width="17.5703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34" customWidth="1"/>
    <col min="18" max="18" width="9.140625" customWidth="1"/>
    <col min="19" max="16384" width="10.28515625" style="1"/>
  </cols>
  <sheetData>
    <row r="1" spans="1:6" ht="20.25" x14ac:dyDescent="0.3">
      <c r="A1" s="2" t="s">
        <v>49</v>
      </c>
      <c r="E1" s="1" t="s">
        <v>0</v>
      </c>
    </row>
    <row r="2" spans="1:6" x14ac:dyDescent="0.2">
      <c r="A2" s="1" t="s">
        <v>1</v>
      </c>
      <c r="B2" s="1" t="s">
        <v>2</v>
      </c>
      <c r="C2" s="3" t="s">
        <v>3</v>
      </c>
      <c r="D2" s="4" t="s">
        <v>4</v>
      </c>
      <c r="E2" s="5" t="s">
        <v>5</v>
      </c>
      <c r="F2" s="1" t="e">
        <v>#N/A</v>
      </c>
    </row>
    <row r="3" spans="1:6" ht="13.5" thickBot="1" x14ac:dyDescent="0.25"/>
    <row r="4" spans="1:6" ht="14.25" thickTop="1" thickBot="1" x14ac:dyDescent="0.25">
      <c r="A4" s="6" t="s">
        <v>6</v>
      </c>
      <c r="C4" s="7" t="s">
        <v>7</v>
      </c>
      <c r="D4" s="8" t="s">
        <v>7</v>
      </c>
    </row>
    <row r="5" spans="1:6" ht="13.5" thickTop="1" x14ac:dyDescent="0.2">
      <c r="A5" s="11" t="s">
        <v>12</v>
      </c>
      <c r="B5"/>
      <c r="C5" s="12">
        <v>-9.5</v>
      </c>
      <c r="D5" t="s">
        <v>13</v>
      </c>
    </row>
    <row r="6" spans="1:6" x14ac:dyDescent="0.2">
      <c r="A6" s="6" t="s">
        <v>8</v>
      </c>
    </row>
    <row r="7" spans="1:6" x14ac:dyDescent="0.2">
      <c r="A7" s="1" t="s">
        <v>9</v>
      </c>
      <c r="C7" s="9">
        <v>51901.17</v>
      </c>
      <c r="D7" s="10" t="s">
        <v>10</v>
      </c>
    </row>
    <row r="8" spans="1:6" x14ac:dyDescent="0.2">
      <c r="A8" s="1" t="s">
        <v>11</v>
      </c>
      <c r="C8" s="9">
        <v>0.398509</v>
      </c>
      <c r="D8" s="10" t="s">
        <v>10</v>
      </c>
    </row>
    <row r="9" spans="1:6" x14ac:dyDescent="0.2">
      <c r="A9" s="23" t="s">
        <v>29</v>
      </c>
      <c r="B9" s="24">
        <v>22</v>
      </c>
      <c r="C9" s="15" t="str">
        <f>"F"&amp;B9</f>
        <v>F22</v>
      </c>
      <c r="D9" s="16" t="str">
        <f>"G"&amp;B9</f>
        <v>G22</v>
      </c>
    </row>
    <row r="10" spans="1:6" ht="13.5" thickBot="1" x14ac:dyDescent="0.25">
      <c r="A10"/>
      <c r="B10"/>
      <c r="C10" s="13" t="s">
        <v>14</v>
      </c>
      <c r="D10" s="13" t="s">
        <v>15</v>
      </c>
      <c r="E10"/>
    </row>
    <row r="11" spans="1:6" x14ac:dyDescent="0.2">
      <c r="A11" t="s">
        <v>16</v>
      </c>
      <c r="B11"/>
      <c r="C11" s="14">
        <f ca="1">INTERCEPT(INDIRECT($D$9):G992,INDIRECT($C$9):F992)</f>
        <v>2.2442715577926861E-3</v>
      </c>
      <c r="D11" s="4"/>
      <c r="E11"/>
    </row>
    <row r="12" spans="1:6" x14ac:dyDescent="0.2">
      <c r="A12" t="s">
        <v>17</v>
      </c>
      <c r="B12"/>
      <c r="C12" s="14">
        <f ca="1">SLOPE(INDIRECT($D$9):G992,INDIRECT($C$9):F992)</f>
        <v>2.4795777703427298E-6</v>
      </c>
      <c r="D12" s="4"/>
      <c r="E12"/>
    </row>
    <row r="13" spans="1:6" x14ac:dyDescent="0.2">
      <c r="A13" t="s">
        <v>18</v>
      </c>
      <c r="B13"/>
      <c r="C13" s="4" t="s">
        <v>19</v>
      </c>
    </row>
    <row r="14" spans="1:6" x14ac:dyDescent="0.2">
      <c r="A14"/>
      <c r="B14"/>
      <c r="C14"/>
    </row>
    <row r="15" spans="1:6" x14ac:dyDescent="0.2">
      <c r="A15" s="18" t="s">
        <v>22</v>
      </c>
      <c r="B15"/>
      <c r="C15" s="19">
        <f ca="1">(C7+C11)+(C8+C12)*INT(MAX(F21:F3533))</f>
        <v>59692.470181496545</v>
      </c>
      <c r="E15" s="17" t="s">
        <v>20</v>
      </c>
      <c r="F15" s="12">
        <v>1</v>
      </c>
    </row>
    <row r="16" spans="1:6" x14ac:dyDescent="0.2">
      <c r="A16" s="18" t="s">
        <v>24</v>
      </c>
      <c r="B16"/>
      <c r="C16" s="19">
        <f ca="1">+C8+C12</f>
        <v>0.39851147957777033</v>
      </c>
      <c r="E16" s="17" t="s">
        <v>21</v>
      </c>
      <c r="F16" s="14">
        <f ca="1">NOW()+15018.5+$C$5/24</f>
        <v>59970.549921180551</v>
      </c>
    </row>
    <row r="17" spans="1:21" ht="13.5" thickBot="1" x14ac:dyDescent="0.25">
      <c r="A17" s="17" t="s">
        <v>26</v>
      </c>
      <c r="B17"/>
      <c r="C17">
        <f>COUNT(C21:C2191)</f>
        <v>8</v>
      </c>
      <c r="E17" s="17" t="s">
        <v>23</v>
      </c>
      <c r="F17" s="14">
        <f ca="1">ROUND(2*(F16-$C$7)/$C$8,0)/2+F15</f>
        <v>20250</v>
      </c>
    </row>
    <row r="18" spans="1:21" ht="14.25" thickTop="1" thickBot="1" x14ac:dyDescent="0.25">
      <c r="A18" s="18" t="s">
        <v>28</v>
      </c>
      <c r="B18"/>
      <c r="C18" s="21">
        <f ca="1">+C15</f>
        <v>59692.470181496545</v>
      </c>
      <c r="D18" s="22">
        <f ca="1">+C16</f>
        <v>0.39851147957777033</v>
      </c>
      <c r="E18" s="17" t="s">
        <v>25</v>
      </c>
      <c r="F18" s="16">
        <f ca="1">ROUND(2*(F16-$C$15)/$C$16,0)/2+F15</f>
        <v>699</v>
      </c>
    </row>
    <row r="19" spans="1:21" ht="13.5" thickTop="1" x14ac:dyDescent="0.2">
      <c r="E19" s="17" t="s">
        <v>27</v>
      </c>
      <c r="F19" s="20">
        <f ca="1">+$C$15+$C$16*F18-15018.5-$C$5/24</f>
        <v>44952.925539054741</v>
      </c>
    </row>
    <row r="20" spans="1:21" ht="13.5" thickBot="1" x14ac:dyDescent="0.25">
      <c r="A20" s="13" t="s">
        <v>30</v>
      </c>
      <c r="B20" s="13" t="s">
        <v>31</v>
      </c>
      <c r="C20" s="13" t="s">
        <v>32</v>
      </c>
      <c r="D20" s="13" t="s">
        <v>33</v>
      </c>
      <c r="E20" s="13" t="s">
        <v>34</v>
      </c>
      <c r="F20" s="13" t="s">
        <v>35</v>
      </c>
      <c r="G20" s="13" t="s">
        <v>36</v>
      </c>
      <c r="H20" s="25" t="s">
        <v>50</v>
      </c>
      <c r="I20" s="25" t="s">
        <v>51</v>
      </c>
      <c r="J20" s="25" t="s">
        <v>52</v>
      </c>
      <c r="K20" s="25" t="s">
        <v>53</v>
      </c>
      <c r="L20" s="25" t="s">
        <v>37</v>
      </c>
      <c r="M20" s="25" t="s">
        <v>38</v>
      </c>
      <c r="N20" s="25" t="s">
        <v>39</v>
      </c>
      <c r="O20" s="25" t="s">
        <v>40</v>
      </c>
      <c r="P20" s="25" t="s">
        <v>41</v>
      </c>
      <c r="Q20" s="35" t="s">
        <v>42</v>
      </c>
      <c r="U20" s="26" t="s">
        <v>54</v>
      </c>
    </row>
    <row r="21" spans="1:21" x14ac:dyDescent="0.2">
      <c r="A21" s="1" t="str">
        <f>D7</f>
        <v>VSX</v>
      </c>
      <c r="C21" s="9">
        <f>C$7</f>
        <v>51901.17</v>
      </c>
      <c r="D21" s="9" t="s">
        <v>19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I21" s="1">
        <f>+G21</f>
        <v>0</v>
      </c>
      <c r="O21" s="1">
        <f ca="1">+C$11+C$12*$F21</f>
        <v>2.2442715577926861E-3</v>
      </c>
      <c r="Q21" s="34">
        <f>+C21-15018.5</f>
        <v>36882.67</v>
      </c>
    </row>
    <row r="22" spans="1:21" x14ac:dyDescent="0.2">
      <c r="A22" s="27" t="s">
        <v>43</v>
      </c>
      <c r="B22" s="28" t="s">
        <v>44</v>
      </c>
      <c r="C22" s="27">
        <v>55622.877999999997</v>
      </c>
      <c r="D22" s="27">
        <v>8.0000000000000004E-4</v>
      </c>
      <c r="E22" s="1">
        <f>+(C22-C$7)/C$8</f>
        <v>9339.0814260154693</v>
      </c>
      <c r="F22" s="1">
        <f>ROUND(2*E22,0)/2</f>
        <v>9339</v>
      </c>
      <c r="G22" s="1">
        <f>+C22-(C$7+F22*C$8)</f>
        <v>3.2448999998450745E-2</v>
      </c>
      <c r="K22" s="1">
        <f>+G22</f>
        <v>3.2448999998450745E-2</v>
      </c>
      <c r="O22" s="1">
        <f ca="1">+C$11+C$12*$F22</f>
        <v>2.540104835502344E-2</v>
      </c>
      <c r="Q22" s="34">
        <f>+C22-15018.5</f>
        <v>40604.377999999997</v>
      </c>
    </row>
    <row r="23" spans="1:21" x14ac:dyDescent="0.2">
      <c r="A23" s="29" t="s">
        <v>45</v>
      </c>
      <c r="B23" s="30" t="s">
        <v>44</v>
      </c>
      <c r="C23" s="29">
        <v>55989.8963</v>
      </c>
      <c r="D23" s="29">
        <v>4.0000000000000002E-4</v>
      </c>
      <c r="E23" s="1">
        <f>+(C23-C$7)/C$8</f>
        <v>10260.060124112635</v>
      </c>
      <c r="F23" s="1">
        <f>ROUND(2*E23,0)/2</f>
        <v>10260</v>
      </c>
      <c r="G23" s="1">
        <f>+C23-(C$7+F23*C$8)</f>
        <v>2.3959999998623971E-2</v>
      </c>
      <c r="K23" s="1">
        <f>+G23</f>
        <v>2.3959999998623971E-2</v>
      </c>
      <c r="O23" s="1">
        <f ca="1">+C$11+C$12*$F23</f>
        <v>2.7684739481509093E-2</v>
      </c>
      <c r="Q23" s="34">
        <f>+C23-15018.5</f>
        <v>40971.3963</v>
      </c>
    </row>
    <row r="24" spans="1:21" x14ac:dyDescent="0.2">
      <c r="A24" s="29" t="s">
        <v>45</v>
      </c>
      <c r="B24" s="30" t="s">
        <v>46</v>
      </c>
      <c r="C24" s="29">
        <v>56054.6558</v>
      </c>
      <c r="D24" s="29">
        <v>1.8E-3</v>
      </c>
      <c r="E24" s="1">
        <f>+(C24-C$7)/C$8</f>
        <v>10422.564609582223</v>
      </c>
      <c r="F24" s="1">
        <f>ROUND(2*E24,0)/2</f>
        <v>10422.5</v>
      </c>
      <c r="G24" s="1">
        <f>+C24-(C$7+F24*C$8)</f>
        <v>2.5747500003490131E-2</v>
      </c>
      <c r="K24" s="1">
        <f>+G24</f>
        <v>2.5747500003490131E-2</v>
      </c>
      <c r="O24" s="1">
        <f ca="1">+C$11+C$12*$F24</f>
        <v>2.8087670869189788E-2</v>
      </c>
      <c r="Q24" s="34">
        <f>+C24-15018.5</f>
        <v>41036.1558</v>
      </c>
    </row>
    <row r="25" spans="1:21" x14ac:dyDescent="0.2">
      <c r="A25" s="31" t="s">
        <v>47</v>
      </c>
      <c r="B25" s="32" t="s">
        <v>46</v>
      </c>
      <c r="C25" s="33">
        <v>58893.247000000003</v>
      </c>
      <c r="D25" s="33" t="s">
        <v>48</v>
      </c>
      <c r="E25" s="1">
        <f>+(C25-C$7)/C$8</f>
        <v>17545.593700518697</v>
      </c>
      <c r="F25" s="1">
        <f>ROUND(2*E25,0)/2</f>
        <v>17545.5</v>
      </c>
      <c r="G25" s="1">
        <f>+C25-(C$7+F25*C$8)</f>
        <v>3.7340500006393995E-2</v>
      </c>
      <c r="K25" s="1">
        <f>+G25</f>
        <v>3.7340500006393995E-2</v>
      </c>
      <c r="O25" s="1">
        <f ca="1">+C$11+C$12*$F25</f>
        <v>4.5749703327341053E-2</v>
      </c>
      <c r="Q25" s="34">
        <f>+C25-15018.5</f>
        <v>43874.747000000003</v>
      </c>
    </row>
    <row r="26" spans="1:21" x14ac:dyDescent="0.2">
      <c r="A26" s="36" t="s">
        <v>55</v>
      </c>
      <c r="B26" s="37" t="s">
        <v>46</v>
      </c>
      <c r="C26" s="38">
        <v>59363.5</v>
      </c>
      <c r="D26" s="36">
        <v>3.0000000000000001E-3</v>
      </c>
      <c r="E26" s="1">
        <f t="shared" ref="E26:E28" si="0">+(C26-C$7)/C$8</f>
        <v>18725.62476631645</v>
      </c>
      <c r="F26" s="1">
        <f t="shared" ref="F26:F28" si="1">ROUND(2*E26,0)/2</f>
        <v>18725.5</v>
      </c>
      <c r="G26" s="1">
        <f t="shared" ref="G26:G28" si="2">+C26-(C$7+F26*C$8)</f>
        <v>4.9720499999239109E-2</v>
      </c>
      <c r="K26" s="1">
        <f t="shared" ref="K26:K28" si="3">+G26</f>
        <v>4.9720499999239109E-2</v>
      </c>
      <c r="O26" s="1">
        <f t="shared" ref="O26:O28" ca="1" si="4">+C$11+C$12*$F26</f>
        <v>4.8675605096345477E-2</v>
      </c>
      <c r="Q26" s="34">
        <f t="shared" ref="Q26:Q28" si="5">+C26-15018.5</f>
        <v>44345</v>
      </c>
    </row>
    <row r="27" spans="1:21" x14ac:dyDescent="0.2">
      <c r="A27" s="36" t="s">
        <v>56</v>
      </c>
      <c r="B27" s="37" t="s">
        <v>44</v>
      </c>
      <c r="C27" s="38">
        <v>59692.470999999998</v>
      </c>
      <c r="D27" s="36">
        <v>3.0000000000000001E-3</v>
      </c>
      <c r="E27" s="1">
        <f t="shared" si="0"/>
        <v>19551.129334594702</v>
      </c>
      <c r="F27" s="1">
        <f t="shared" si="1"/>
        <v>19551</v>
      </c>
      <c r="G27" s="1">
        <f t="shared" si="2"/>
        <v>5.1541000000725035E-2</v>
      </c>
      <c r="K27" s="1">
        <f t="shared" si="3"/>
        <v>5.1541000000725035E-2</v>
      </c>
      <c r="O27" s="1">
        <f t="shared" ca="1" si="4"/>
        <v>5.0722496545763399E-2</v>
      </c>
      <c r="Q27" s="34">
        <f t="shared" si="5"/>
        <v>44673.970999999998</v>
      </c>
    </row>
    <row r="28" spans="1:21" x14ac:dyDescent="0.2">
      <c r="A28" s="36" t="s">
        <v>56</v>
      </c>
      <c r="B28" s="37" t="s">
        <v>44</v>
      </c>
      <c r="C28" s="38">
        <v>59692.675000000003</v>
      </c>
      <c r="D28" s="36">
        <v>5.0000000000000001E-3</v>
      </c>
      <c r="E28" s="1">
        <f t="shared" si="0"/>
        <v>19551.641242732298</v>
      </c>
      <c r="F28" s="1">
        <f t="shared" si="1"/>
        <v>19551.5</v>
      </c>
      <c r="G28" s="1">
        <f t="shared" si="2"/>
        <v>5.628650000289781E-2</v>
      </c>
      <c r="K28" s="1">
        <f t="shared" si="3"/>
        <v>5.628650000289781E-2</v>
      </c>
      <c r="O28" s="1">
        <f t="shared" ca="1" si="4"/>
        <v>5.0723736334648571E-2</v>
      </c>
      <c r="Q28" s="34">
        <f t="shared" si="5"/>
        <v>44674.175000000003</v>
      </c>
    </row>
  </sheetData>
  <sheetProtection selectLockedCells="1" selectUnlockedCells="1"/>
  <phoneticPr fontId="1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2023-01-26T00:11:28Z</dcterms:created>
  <dcterms:modified xsi:type="dcterms:W3CDTF">2023-01-26T00:11:53Z</dcterms:modified>
</cp:coreProperties>
</file>