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81FEB4E9-A5A5-4FEE-A14C-DA2891389D40}" xr6:coauthVersionLast="47" xr6:coauthVersionMax="47" xr10:uidLastSave="{00000000-0000-0000-0000-000000000000}"/>
  <bookViews>
    <workbookView xWindow="14130" yWindow="645" windowWidth="13230" windowHeight="1426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 s="1"/>
  <c r="G24" i="1" s="1"/>
  <c r="K24" i="1" s="1"/>
  <c r="Q24" i="1"/>
  <c r="Q23" i="1"/>
  <c r="D9" i="1"/>
  <c r="C9" i="1"/>
  <c r="E23" i="1"/>
  <c r="F23" i="1"/>
  <c r="G23" i="1"/>
  <c r="K23" i="1"/>
  <c r="E21" i="1"/>
  <c r="F21" i="1"/>
  <c r="G21" i="1"/>
  <c r="I21" i="1"/>
  <c r="E22" i="1"/>
  <c r="F22" i="1"/>
  <c r="G22" i="1"/>
  <c r="K22" i="1"/>
  <c r="Q22" i="1"/>
  <c r="R22" i="1"/>
  <c r="F17" i="1"/>
  <c r="C17" i="1"/>
  <c r="Q21" i="1"/>
  <c r="C12" i="1"/>
  <c r="C11" i="1"/>
  <c r="O24" i="1" l="1"/>
  <c r="O21" i="1"/>
  <c r="O22" i="1"/>
  <c r="O23" i="1"/>
  <c r="C15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<sst xmlns="http://schemas.openxmlformats.org/spreadsheetml/2006/main" count="51" uniqueCount="47">
  <si>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</si>
  <si>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</si>
  <si>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</si>
  <si>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</si>
  <si>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</si>
  <si>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</si>
  <si>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</si>
  <si>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</si>
  <si>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</si>
  <si>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</si>
  <si>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</si>
  <si>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</si>
  <si>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</si>
  <si>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</si>
  <si>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</si>
  <si>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</si>
  <si>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</si>
  <si>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</si>
  <si>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</si>
  <si>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</si>
  <si>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</si>
  <si>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</si>
  <si>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</si>
  <si>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</si>
  <si>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</si>
  <si>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</si>
  <si>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</si>
  <si>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</si>
  <si>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</si>
  <si>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</si>
  <si>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</si>
  <si>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</si>
  <si>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</si>
  <si>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</si>
  <si>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Vul</t>
  </si>
  <si>
    <t>not avail.</t>
  </si>
  <si>
    <t>EA</t>
  </si>
  <si>
    <t>OEJV 0091</t>
  </si>
  <si>
    <t>RHN 2020</t>
  </si>
  <si>
    <t>IBVS 5966</t>
  </si>
  <si>
    <t>pg</t>
  </si>
  <si>
    <t>vis</t>
  </si>
  <si>
    <t>PE</t>
  </si>
  <si>
    <t>CCD</t>
  </si>
  <si>
    <t>V0499 Vul / GSC 2167-0490</t>
  </si>
  <si>
    <t>JBAV, 60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</si>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</sst>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2" applyNumberFormat="0" applyFont="0" applyFill="0" applyAlignment="0" applyProtection="0"/>
  </cellStyleXfs>
  <cellXfs count="3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0" fillId="0" borderId="1" xfId="0" applyFont="1" applyFill="1" applyBorder="1" applyAlignment="1">
      <alignment vertical="center"/>
    </xf>
    <xf numFmtId="0" fontId="13" fillId="0" borderId="0" xfId="0" applyFont="1" applyAlignment="1"/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172" fontId="15" fillId="0" borderId="0" xfId="0" applyNumberFormat="1" applyFont="1" applyAlignment="1">
      <alignment vertical="center" wrapText="1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V0499 Vul - O-C Diagr.</a:t>
            </a:r>
          </a:p>
        </c:rich>
      </c:tx>
      <c:layout>
        <c:manualLayout>
          <c:xMode val="edge"/>
          <c:yMode val="edge"/>
          <c:x val="0.37142857142857144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5.0000000000000001E-4</c:v>
                  </c:pt>
                  <c:pt idx="2">
                    <c:v>1E-4</c:v>
                  </c:pt>
                  <c:pt idx="3">
                    <c:v>1.4E-3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5.0000000000000001E-4</c:v>
                  </c:pt>
                  <c:pt idx="2">
                    <c:v>1E-4</c:v>
                  </c:pt>
                  <c:pt idx="3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4579</c:v>
                </c:pt>
                <c:pt idx="2">
                  <c:v>8953</c:v>
                </c:pt>
                <c:pt idx="3">
                  <c:v>9432.5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F5B-4637-89A2-9373D502B13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5.0000000000000001E-4</c:v>
                  </c:pt>
                  <c:pt idx="2">
                    <c:v>1E-4</c:v>
                  </c:pt>
                  <c:pt idx="3">
                    <c:v>1.4E-3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5.0000000000000001E-4</c:v>
                  </c:pt>
                  <c:pt idx="2">
                    <c:v>1E-4</c:v>
                  </c:pt>
                  <c:pt idx="3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4579</c:v>
                </c:pt>
                <c:pt idx="2">
                  <c:v>8953</c:v>
                </c:pt>
                <c:pt idx="3">
                  <c:v>9432.5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F5B-4637-89A2-9373D502B13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5.0000000000000001E-4</c:v>
                  </c:pt>
                  <c:pt idx="2">
                    <c:v>1E-4</c:v>
                  </c:pt>
                  <c:pt idx="3">
                    <c:v>1.4E-3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5.0000000000000001E-4</c:v>
                  </c:pt>
                  <c:pt idx="2">
                    <c:v>1E-4</c:v>
                  </c:pt>
                  <c:pt idx="3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4579</c:v>
                </c:pt>
                <c:pt idx="2">
                  <c:v>8953</c:v>
                </c:pt>
                <c:pt idx="3">
                  <c:v>9432.5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F5B-4637-89A2-9373D502B13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5.0000000000000001E-4</c:v>
                  </c:pt>
                  <c:pt idx="2">
                    <c:v>1E-4</c:v>
                  </c:pt>
                  <c:pt idx="3">
                    <c:v>1.4E-3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5.0000000000000001E-4</c:v>
                  </c:pt>
                  <c:pt idx="2">
                    <c:v>1E-4</c:v>
                  </c:pt>
                  <c:pt idx="3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4579</c:v>
                </c:pt>
                <c:pt idx="2">
                  <c:v>8953</c:v>
                </c:pt>
                <c:pt idx="3">
                  <c:v>9432.5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1">
                  <c:v>-1.7690000000584405E-2</c:v>
                </c:pt>
                <c:pt idx="2">
                  <c:v>-2.9129999995348044E-2</c:v>
                </c:pt>
                <c:pt idx="3">
                  <c:v>-2.8674999994109385E-2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F5B-4637-89A2-9373D502B13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5.0000000000000001E-4</c:v>
                  </c:pt>
                  <c:pt idx="2">
                    <c:v>1E-4</c:v>
                  </c:pt>
                  <c:pt idx="3">
                    <c:v>1.4E-3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5.0000000000000001E-4</c:v>
                  </c:pt>
                  <c:pt idx="2">
                    <c:v>1E-4</c:v>
                  </c:pt>
                  <c:pt idx="3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4579</c:v>
                </c:pt>
                <c:pt idx="2">
                  <c:v>8953</c:v>
                </c:pt>
                <c:pt idx="3">
                  <c:v>9432.5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F5B-4637-89A2-9373D502B13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5.0000000000000001E-4</c:v>
                  </c:pt>
                  <c:pt idx="2">
                    <c:v>1E-4</c:v>
                  </c:pt>
                  <c:pt idx="3">
                    <c:v>1.4E-3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5.0000000000000001E-4</c:v>
                  </c:pt>
                  <c:pt idx="2">
                    <c:v>1E-4</c:v>
                  </c:pt>
                  <c:pt idx="3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4579</c:v>
                </c:pt>
                <c:pt idx="2">
                  <c:v>8953</c:v>
                </c:pt>
                <c:pt idx="3">
                  <c:v>9432.5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F5B-4637-89A2-9373D502B13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5.0000000000000001E-4</c:v>
                  </c:pt>
                  <c:pt idx="2">
                    <c:v>1E-4</c:v>
                  </c:pt>
                  <c:pt idx="3">
                    <c:v>1.4E-3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5.0000000000000001E-4</c:v>
                  </c:pt>
                  <c:pt idx="2">
                    <c:v>1E-4</c:v>
                  </c:pt>
                  <c:pt idx="3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4579</c:v>
                </c:pt>
                <c:pt idx="2">
                  <c:v>8953</c:v>
                </c:pt>
                <c:pt idx="3">
                  <c:v>9432.5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F5B-4637-89A2-9373D502B13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4579</c:v>
                </c:pt>
                <c:pt idx="2">
                  <c:v>8953</c:v>
                </c:pt>
                <c:pt idx="3">
                  <c:v>9432.5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-1.2469153245719296E-3</c:v>
                </c:pt>
                <c:pt idx="1">
                  <c:v>-1.5305706235305543E-2</c:v>
                </c:pt>
                <c:pt idx="2">
                  <c:v>-2.8735090695569537E-2</c:v>
                </c:pt>
                <c:pt idx="3">
                  <c:v>-3.0207287734594818E-2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F5B-4637-89A2-9373D502B1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900416"/>
        <c:axId val="1"/>
      </c:scatterChart>
      <c:valAx>
        <c:axId val="8469004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69004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86466165413534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217487A-B4BA-E7B4-54F1-1CAB352D18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39"/>
  <sheetViews>
    <sheetView tabSelected="1" workbookViewId="0">
      <selection activeCell="F14" sqref="F1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0.85546875" customWidth="1"/>
    <col min="6" max="6" width="15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5" ht="20.25" x14ac:dyDescent="0.3">
      <c r="A1" s="1" t="s">
        <v>44</v>
      </c>
    </row>
    <row r="2" spans="1:5" x14ac:dyDescent="0.2">
      <c r="A2" t="s">
        <v>23</v>
      </c>
      <c r="B2" t="s">
        <v>36</v>
      </c>
      <c r="C2" s="3"/>
      <c r="D2" s="3"/>
      <c r="E2" t="s">
        <v>34</v>
      </c>
    </row>
    <row r="3" spans="1:5" ht="13.5" thickBot="1" x14ac:dyDescent="0.25"/>
    <row r="4" spans="1:5" ht="14.25" thickTop="1" thickBot="1" x14ac:dyDescent="0.25">
      <c r="A4" s="5" t="s">
        <v>0</v>
      </c>
      <c r="C4" s="8" t="s">
        <v>35</v>
      </c>
      <c r="D4" s="9" t="s">
        <v>35</v>
      </c>
    </row>
    <row r="5" spans="1:5" ht="13.5" thickTop="1" x14ac:dyDescent="0.2">
      <c r="A5" s="11" t="s">
        <v>28</v>
      </c>
      <c r="B5" s="12"/>
      <c r="C5" s="13">
        <v>-9.5</v>
      </c>
      <c r="D5" s="12" t="s">
        <v>29</v>
      </c>
      <c r="E5" s="12"/>
    </row>
    <row r="6" spans="1:5" x14ac:dyDescent="0.2">
      <c r="A6" s="5" t="s">
        <v>1</v>
      </c>
    </row>
    <row r="7" spans="1:5" x14ac:dyDescent="0.2">
      <c r="A7" t="s">
        <v>2</v>
      </c>
      <c r="C7">
        <v>51464.815999999999</v>
      </c>
      <c r="D7" s="28" t="s">
        <v>37</v>
      </c>
    </row>
    <row r="8" spans="1:5" x14ac:dyDescent="0.2">
      <c r="A8" t="s">
        <v>3</v>
      </c>
      <c r="C8">
        <v>0.83950999999999998</v>
      </c>
      <c r="D8" s="28" t="s">
        <v>37</v>
      </c>
    </row>
    <row r="9" spans="1:5" x14ac:dyDescent="0.2">
      <c r="A9" s="26" t="s">
        <v>33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5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5" x14ac:dyDescent="0.2">
      <c r="A11" s="12" t="s">
        <v>15</v>
      </c>
      <c r="B11" s="12"/>
      <c r="C11" s="23">
        <f ca="1">INTERCEPT(INDIRECT($D$9):G991,INDIRECT($C$9):F991)</f>
        <v>-1.2469153245719296E-3</v>
      </c>
      <c r="D11" s="3"/>
      <c r="E11" s="12"/>
    </row>
    <row r="12" spans="1:5" x14ac:dyDescent="0.2">
      <c r="A12" s="12" t="s">
        <v>16</v>
      </c>
      <c r="B12" s="12"/>
      <c r="C12" s="23">
        <f ca="1">SLOPE(INDIRECT($D$9):G991,INDIRECT($C$9):F991)</f>
        <v>-3.0702753681444886E-6</v>
      </c>
      <c r="D12" s="3"/>
      <c r="E12" s="12"/>
    </row>
    <row r="13" spans="1:5" x14ac:dyDescent="0.2">
      <c r="A13" s="12" t="s">
        <v>18</v>
      </c>
      <c r="B13" s="12"/>
      <c r="C13" s="3" t="s">
        <v>13</v>
      </c>
      <c r="D13" s="3"/>
      <c r="E13" s="12"/>
    </row>
    <row r="14" spans="1:5" x14ac:dyDescent="0.2">
      <c r="A14" s="12"/>
      <c r="B14" s="12"/>
      <c r="C14" s="12"/>
      <c r="D14" s="12"/>
      <c r="E14" s="12"/>
    </row>
    <row r="15" spans="1:5" x14ac:dyDescent="0.2">
      <c r="A15" s="14" t="s">
        <v>17</v>
      </c>
      <c r="B15" s="12"/>
      <c r="C15" s="15">
        <f ca="1">(C7+C11)+(C8+C12)*INT(MAX(F21:F3532))</f>
        <v>59383.044114247401</v>
      </c>
    </row>
    <row r="16" spans="1:5" x14ac:dyDescent="0.2">
      <c r="A16" s="18" t="s">
        <v>4</v>
      </c>
      <c r="B16" s="12"/>
      <c r="C16" s="19">
        <f ca="1">+C8+C12</f>
        <v>0.83950692972463181</v>
      </c>
    </row>
    <row r="17" spans="1:18" ht="13.5" thickBot="1" x14ac:dyDescent="0.25">
      <c r="A17" s="16" t="s">
        <v>27</v>
      </c>
      <c r="B17" s="12"/>
      <c r="C17" s="12">
        <f>COUNT(C21:C2190)</f>
        <v>4</v>
      </c>
      <c r="E17" s="16" t="s">
        <v>30</v>
      </c>
      <c r="F17" s="17">
        <f ca="1">TODAY()+15018.5-B5/24</f>
        <v>59970.5</v>
      </c>
    </row>
    <row r="18" spans="1:18" ht="14.25" thickTop="1" thickBot="1" x14ac:dyDescent="0.25">
      <c r="A18" s="18" t="s">
        <v>5</v>
      </c>
      <c r="B18" s="12"/>
      <c r="C18" s="21">
        <f ca="1">+C15</f>
        <v>59383.044114247401</v>
      </c>
      <c r="D18" s="22">
        <f ca="1">+C16</f>
        <v>0.83950692972463181</v>
      </c>
      <c r="E18" s="16" t="s">
        <v>31</v>
      </c>
      <c r="F18" s="17">
        <f ca="1">ROUND(2*(F17-C15)/C16,0)/2+1</f>
        <v>701</v>
      </c>
    </row>
    <row r="19" spans="1:18" ht="13.5" thickTop="1" x14ac:dyDescent="0.2">
      <c r="E19" s="16" t="s">
        <v>32</v>
      </c>
      <c r="F19" s="20">
        <f ca="1">+C15+C16*F18-15018.5-C5/24</f>
        <v>44953.434305317707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40</v>
      </c>
      <c r="I20" s="7" t="s">
        <v>41</v>
      </c>
      <c r="J20" s="7" t="s">
        <v>42</v>
      </c>
      <c r="K20" s="7" t="s">
        <v>43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</row>
    <row r="21" spans="1:18" x14ac:dyDescent="0.2">
      <c r="A21" s="28" t="s">
        <v>37</v>
      </c>
      <c r="C21" s="10">
        <v>51464.815999999999</v>
      </c>
      <c r="D21" s="10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-1.2469153245719296E-3</v>
      </c>
      <c r="Q21" s="2">
        <f>+C21-15018.5</f>
        <v>36446.315999999999</v>
      </c>
    </row>
    <row r="22" spans="1:18" x14ac:dyDescent="0.2">
      <c r="A22" s="5" t="s">
        <v>39</v>
      </c>
      <c r="C22" s="10">
        <v>55308.914599999996</v>
      </c>
      <c r="D22" s="10">
        <v>5.0000000000000001E-4</v>
      </c>
      <c r="E22">
        <f>+(C22-C$7)/C$8</f>
        <v>4578.978928184295</v>
      </c>
      <c r="F22">
        <f>ROUND(2*E22,0)/2</f>
        <v>4579</v>
      </c>
      <c r="G22">
        <f>+C22-(C$7+F22*C$8)</f>
        <v>-1.7690000000584405E-2</v>
      </c>
      <c r="K22">
        <f>+G22</f>
        <v>-1.7690000000584405E-2</v>
      </c>
      <c r="O22">
        <f ca="1">+C$11+C$12*$F22</f>
        <v>-1.5305706235305543E-2</v>
      </c>
      <c r="Q22" s="2">
        <f>+C22-15018.5</f>
        <v>40290.414599999996</v>
      </c>
      <c r="R22" t="str">
        <f>IF(ABS(C22-C21)&lt;0.00001,1,"")</f>
        <v/>
      </c>
    </row>
    <row r="23" spans="1:18" x14ac:dyDescent="0.2">
      <c r="A23" s="5" t="s">
        <v>38</v>
      </c>
      <c r="C23" s="10">
        <v>58980.919900000001</v>
      </c>
      <c r="D23" s="10">
        <v>1E-4</v>
      </c>
      <c r="E23">
        <f>+(C23-C$7)/C$8</f>
        <v>8952.9653011875998</v>
      </c>
      <c r="F23">
        <f>ROUND(2*E23,0)/2</f>
        <v>8953</v>
      </c>
      <c r="G23">
        <f>+C23-(C$7+F23*C$8)</f>
        <v>-2.9129999995348044E-2</v>
      </c>
      <c r="K23">
        <f>+G23</f>
        <v>-2.9129999995348044E-2</v>
      </c>
      <c r="O23">
        <f ca="1">+C$11+C$12*$F23</f>
        <v>-2.8735090695569537E-2</v>
      </c>
      <c r="Q23" s="2">
        <f>+C23-15018.5</f>
        <v>43962.419900000001</v>
      </c>
    </row>
    <row r="24" spans="1:18" x14ac:dyDescent="0.2">
      <c r="A24" s="30" t="s">
        <v>45</v>
      </c>
      <c r="B24" s="31" t="s">
        <v>46</v>
      </c>
      <c r="C24" s="32">
        <v>59383.465400000001</v>
      </c>
      <c r="D24" s="30">
        <v>1.4E-3</v>
      </c>
      <c r="E24">
        <f>+(C24-C$7)/C$8</f>
        <v>9432.4658431704229</v>
      </c>
      <c r="F24">
        <f>ROUND(2*E24,0)/2</f>
        <v>9432.5</v>
      </c>
      <c r="G24">
        <f>+C24-(C$7+F24*C$8)</f>
        <v>-2.8674999994109385E-2</v>
      </c>
      <c r="K24">
        <f>+G24</f>
        <v>-2.8674999994109385E-2</v>
      </c>
      <c r="O24">
        <f ca="1">+C$11+C$12*$F24</f>
        <v>-3.0207287734594818E-2</v>
      </c>
      <c r="Q24" s="2">
        <f>+C24-15018.5</f>
        <v>44364.965400000001</v>
      </c>
    </row>
    <row r="25" spans="1:18" x14ac:dyDescent="0.2">
      <c r="C25" s="10"/>
      <c r="D25" s="10"/>
      <c r="Q25" s="2"/>
    </row>
    <row r="26" spans="1:18" x14ac:dyDescent="0.2">
      <c r="C26" s="10"/>
      <c r="D26" s="10"/>
      <c r="Q26" s="2"/>
    </row>
    <row r="27" spans="1:18" x14ac:dyDescent="0.2">
      <c r="C27" s="10"/>
      <c r="D27" s="10"/>
      <c r="Q27" s="2"/>
    </row>
    <row r="28" spans="1:18" x14ac:dyDescent="0.2">
      <c r="C28" s="10"/>
      <c r="D28" s="10"/>
      <c r="Q28" s="2"/>
    </row>
    <row r="29" spans="1:18" x14ac:dyDescent="0.2">
      <c r="C29" s="10"/>
      <c r="D29" s="10"/>
      <c r="Q29" s="2"/>
    </row>
    <row r="30" spans="1:18" x14ac:dyDescent="0.2">
      <c r="C30" s="10"/>
      <c r="D30" s="10"/>
      <c r="H30" s="29"/>
      <c r="Q30" s="2"/>
    </row>
    <row r="31" spans="1:18" x14ac:dyDescent="0.2">
      <c r="C31" s="10"/>
      <c r="D31" s="10"/>
      <c r="Q31" s="2"/>
    </row>
    <row r="32" spans="1:18" x14ac:dyDescent="0.2">
      <c r="C32" s="10"/>
      <c r="D32" s="10"/>
      <c r="H32" s="29"/>
      <c r="Q32" s="2"/>
    </row>
    <row r="33" spans="3:4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2023-01-26T01:30:06Z</dcterms:modified>
</cp:coreProperties>
</file>