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EBB8277-45CF-4154-A1BC-4EE320A0906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BAV" sheetId="3" r:id="rId2"/>
  </sheets>
  <calcPr calcId="181029"/>
</workbook>
</file>

<file path=xl/calcChain.xml><?xml version="1.0" encoding="utf-8"?>
<calcChain xmlns="http://schemas.openxmlformats.org/spreadsheetml/2006/main">
  <c r="D9" i="2" l="1"/>
  <c r="C9" i="2"/>
  <c r="Q45" i="2"/>
  <c r="Q22" i="2"/>
  <c r="Q23" i="2"/>
  <c r="Q24" i="2"/>
  <c r="Q25" i="2"/>
  <c r="Q26" i="2"/>
  <c r="Q27" i="2"/>
  <c r="Q28" i="2"/>
  <c r="Q30" i="2"/>
  <c r="Q31" i="2"/>
  <c r="Q33" i="2"/>
  <c r="Q32" i="2"/>
  <c r="Q34" i="2"/>
  <c r="Q35" i="2"/>
  <c r="Q36" i="2"/>
  <c r="Q37" i="2"/>
  <c r="Q38" i="2"/>
  <c r="Q39" i="2"/>
  <c r="Q42" i="2"/>
  <c r="G17" i="3"/>
  <c r="C17" i="3"/>
  <c r="G18" i="3"/>
  <c r="C18" i="3"/>
  <c r="G19" i="3"/>
  <c r="C19" i="3"/>
  <c r="G20" i="3"/>
  <c r="C20" i="3"/>
  <c r="G21" i="3"/>
  <c r="C21" i="3"/>
  <c r="G22" i="3"/>
  <c r="C22" i="3"/>
  <c r="G11" i="3"/>
  <c r="C11" i="3"/>
  <c r="G23" i="3"/>
  <c r="C23" i="3"/>
  <c r="G24" i="3"/>
  <c r="C24" i="3"/>
  <c r="G25" i="3"/>
  <c r="C25" i="3"/>
  <c r="G26" i="3"/>
  <c r="C26" i="3"/>
  <c r="G27" i="3"/>
  <c r="C27" i="3"/>
  <c r="G28" i="3"/>
  <c r="C28" i="3"/>
  <c r="G29" i="3"/>
  <c r="C29" i="3"/>
  <c r="G30" i="3"/>
  <c r="C30" i="3"/>
  <c r="G31" i="3"/>
  <c r="C31" i="3"/>
  <c r="G32" i="3"/>
  <c r="C32" i="3"/>
  <c r="G12" i="3"/>
  <c r="C12" i="3"/>
  <c r="G13" i="3"/>
  <c r="C13" i="3"/>
  <c r="G33" i="3"/>
  <c r="C33" i="3"/>
  <c r="G14" i="3"/>
  <c r="C14" i="3"/>
  <c r="G15" i="3"/>
  <c r="C15" i="3"/>
  <c r="G16" i="3"/>
  <c r="C16" i="3"/>
  <c r="H15" i="3"/>
  <c r="B15" i="3"/>
  <c r="D15" i="3"/>
  <c r="A15" i="3"/>
  <c r="H14" i="3"/>
  <c r="D14" i="3"/>
  <c r="B14" i="3"/>
  <c r="A14" i="3"/>
  <c r="H33" i="3"/>
  <c r="B33" i="3"/>
  <c r="D33" i="3"/>
  <c r="A33" i="3"/>
  <c r="H13" i="3"/>
  <c r="D13" i="3"/>
  <c r="B13" i="3"/>
  <c r="A13" i="3"/>
  <c r="H12" i="3"/>
  <c r="B12" i="3"/>
  <c r="D12" i="3"/>
  <c r="A12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11" i="3"/>
  <c r="D11" i="3"/>
  <c r="B11" i="3"/>
  <c r="A11" i="3"/>
  <c r="H22" i="3"/>
  <c r="B22" i="3"/>
  <c r="D22" i="3"/>
  <c r="A22" i="3"/>
  <c r="H21" i="3"/>
  <c r="D21" i="3"/>
  <c r="B21" i="3"/>
  <c r="A21" i="3"/>
  <c r="H20" i="3"/>
  <c r="B20" i="3"/>
  <c r="D20" i="3"/>
  <c r="A20" i="3"/>
  <c r="H19" i="3"/>
  <c r="D19" i="3"/>
  <c r="B19" i="3"/>
  <c r="A19" i="3"/>
  <c r="H18" i="3"/>
  <c r="B18" i="3"/>
  <c r="D18" i="3"/>
  <c r="A18" i="3"/>
  <c r="H17" i="3"/>
  <c r="D17" i="3"/>
  <c r="B17" i="3"/>
  <c r="A17" i="3"/>
  <c r="H16" i="3"/>
  <c r="B16" i="3"/>
  <c r="D16" i="3"/>
  <c r="A16" i="3"/>
  <c r="F16" i="2"/>
  <c r="F17" i="2" s="1"/>
  <c r="E45" i="2"/>
  <c r="F45" i="2"/>
  <c r="G45" i="2"/>
  <c r="K45" i="2"/>
  <c r="C17" i="2"/>
  <c r="Q21" i="2"/>
  <c r="Q29" i="2"/>
  <c r="Q40" i="2"/>
  <c r="Q41" i="2"/>
  <c r="Q43" i="2"/>
  <c r="Q44" i="2"/>
  <c r="E42" i="2"/>
  <c r="E33" i="3"/>
  <c r="E33" i="2"/>
  <c r="F33" i="2"/>
  <c r="G33" i="2"/>
  <c r="I33" i="2"/>
  <c r="E23" i="2"/>
  <c r="F23" i="2"/>
  <c r="G23" i="2"/>
  <c r="I23" i="2"/>
  <c r="E43" i="2"/>
  <c r="F43" i="2"/>
  <c r="G43" i="2"/>
  <c r="J43" i="2"/>
  <c r="E37" i="2"/>
  <c r="F37" i="2"/>
  <c r="G37" i="2"/>
  <c r="I37" i="2"/>
  <c r="E28" i="2"/>
  <c r="E22" i="3"/>
  <c r="E29" i="2"/>
  <c r="F29" i="2"/>
  <c r="G29" i="2"/>
  <c r="I29" i="2"/>
  <c r="E34" i="2"/>
  <c r="F34" i="2"/>
  <c r="G34" i="2"/>
  <c r="I34" i="2"/>
  <c r="E25" i="2"/>
  <c r="E19" i="3"/>
  <c r="F25" i="2"/>
  <c r="G25" i="2"/>
  <c r="I25" i="2"/>
  <c r="E39" i="2"/>
  <c r="E32" i="3"/>
  <c r="E31" i="2"/>
  <c r="F31" i="2"/>
  <c r="G31" i="2"/>
  <c r="I31" i="2"/>
  <c r="E44" i="2"/>
  <c r="E15" i="3"/>
  <c r="F44" i="2"/>
  <c r="G44" i="2"/>
  <c r="J44" i="2"/>
  <c r="E36" i="2"/>
  <c r="F36" i="2"/>
  <c r="G36" i="2"/>
  <c r="I36" i="2"/>
  <c r="E27" i="2"/>
  <c r="F27" i="2"/>
  <c r="G27" i="2"/>
  <c r="I27" i="2"/>
  <c r="E22" i="2"/>
  <c r="F22" i="2"/>
  <c r="G22" i="2"/>
  <c r="I22" i="2"/>
  <c r="E40" i="2"/>
  <c r="E12" i="3"/>
  <c r="E32" i="2"/>
  <c r="E25" i="3"/>
  <c r="F32" i="2"/>
  <c r="G32" i="2"/>
  <c r="I32" i="2"/>
  <c r="G26" i="2"/>
  <c r="I26" i="2"/>
  <c r="E24" i="2"/>
  <c r="F24" i="2"/>
  <c r="G24" i="2"/>
  <c r="I24" i="2"/>
  <c r="E41" i="2"/>
  <c r="F41" i="2"/>
  <c r="R41" i="2"/>
  <c r="E38" i="2"/>
  <c r="F38" i="2"/>
  <c r="G38" i="2"/>
  <c r="I38" i="2"/>
  <c r="E30" i="2"/>
  <c r="F30" i="2"/>
  <c r="G30" i="2"/>
  <c r="I30" i="2"/>
  <c r="E21" i="2"/>
  <c r="F21" i="2"/>
  <c r="G21" i="2"/>
  <c r="H21" i="2"/>
  <c r="E35" i="2"/>
  <c r="F35" i="2"/>
  <c r="G35" i="2"/>
  <c r="I35" i="2"/>
  <c r="E26" i="2"/>
  <c r="E20" i="3"/>
  <c r="F26" i="2"/>
  <c r="E26" i="3"/>
  <c r="E23" i="3"/>
  <c r="E31" i="3"/>
  <c r="E13" i="3"/>
  <c r="E24" i="3"/>
  <c r="E30" i="3"/>
  <c r="E11" i="3"/>
  <c r="E21" i="3"/>
  <c r="E27" i="3"/>
  <c r="F40" i="2"/>
  <c r="G40" i="2"/>
  <c r="J40" i="2"/>
  <c r="F28" i="2"/>
  <c r="G28" i="2"/>
  <c r="I28" i="2"/>
  <c r="E17" i="3"/>
  <c r="E18" i="3"/>
  <c r="E16" i="3"/>
  <c r="F42" i="2"/>
  <c r="G42" i="2"/>
  <c r="K42" i="2"/>
  <c r="E29" i="3"/>
  <c r="E28" i="3"/>
  <c r="E14" i="3"/>
  <c r="F39" i="2"/>
  <c r="G39" i="2"/>
  <c r="I39" i="2"/>
  <c r="C11" i="2"/>
  <c r="C12" i="2"/>
  <c r="C16" i="2" l="1"/>
  <c r="D18" i="2" s="1"/>
  <c r="O35" i="2"/>
  <c r="S35" i="2" s="1"/>
  <c r="O40" i="2"/>
  <c r="S40" i="2" s="1"/>
  <c r="O30" i="2"/>
  <c r="S30" i="2" s="1"/>
  <c r="O21" i="2"/>
  <c r="S21" i="2" s="1"/>
  <c r="O26" i="2"/>
  <c r="S26" i="2" s="1"/>
  <c r="O23" i="2"/>
  <c r="S23" i="2" s="1"/>
  <c r="O25" i="2"/>
  <c r="S25" i="2" s="1"/>
  <c r="O27" i="2"/>
  <c r="S27" i="2" s="1"/>
  <c r="O22" i="2"/>
  <c r="S22" i="2" s="1"/>
  <c r="C15" i="2"/>
  <c r="F18" i="2" s="1"/>
  <c r="O32" i="2"/>
  <c r="S32" i="2" s="1"/>
  <c r="O38" i="2"/>
  <c r="S38" i="2" s="1"/>
  <c r="O44" i="2"/>
  <c r="S44" i="2" s="1"/>
  <c r="O43" i="2"/>
  <c r="S43" i="2" s="1"/>
  <c r="O24" i="2"/>
  <c r="S24" i="2" s="1"/>
  <c r="O34" i="2"/>
  <c r="S34" i="2" s="1"/>
  <c r="O33" i="2"/>
  <c r="S33" i="2" s="1"/>
  <c r="O31" i="2"/>
  <c r="S31" i="2" s="1"/>
  <c r="O29" i="2"/>
  <c r="S29" i="2" s="1"/>
  <c r="O45" i="2"/>
  <c r="S45" i="2" s="1"/>
  <c r="O39" i="2"/>
  <c r="S39" i="2" s="1"/>
  <c r="O37" i="2"/>
  <c r="S37" i="2" s="1"/>
  <c r="O36" i="2"/>
  <c r="S36" i="2" s="1"/>
  <c r="O28" i="2"/>
  <c r="S28" i="2" s="1"/>
  <c r="O42" i="2"/>
  <c r="S42" i="2" s="1"/>
  <c r="O41" i="2"/>
  <c r="S18" i="2" l="1"/>
  <c r="C18" i="2"/>
  <c r="F19" i="2"/>
</calcChain>
</file>

<file path=xl/sharedStrings.xml><?xml version="1.0" encoding="utf-8"?>
<sst xmlns="http://schemas.openxmlformats.org/spreadsheetml/2006/main" count="295" uniqueCount="161">
  <si>
    <t>0.0009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</si>
  <si>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</si>
  <si>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</si>
  <si>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</si>
  <si>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</si>
  <si>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</si>
  <si>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</si>
  <si>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</si>
  <si>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</si>
  <si>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</si>
  <si>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</si>
  <si>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</si>
  <si>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</si>
  <si>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</si>
  <si>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</si>
  <si>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</si>
  <si>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</si>
  <si>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</si>
  <si>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</si>
  <si>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</si>
  <si>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</si>
  <si>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</si>
  <si>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</si>
  <si>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</si>
  <si>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</si>
  <si>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</si>
  <si>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</si>
  <si>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</si>
  <si>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Bull.19</t>
  </si>
  <si>
    <t>B</t>
  </si>
  <si>
    <t>Diethelm</t>
  </si>
  <si>
    <t>R</t>
  </si>
  <si>
    <t>BBSAG Bull.113</t>
  </si>
  <si>
    <t>EA/SD</t>
  </si>
  <si>
    <t># of data points:</t>
  </si>
  <si>
    <t>CU And / GSC 3630-0666</t>
  </si>
  <si>
    <t>My time zone &gt;&gt;&gt;&gt;&gt;</t>
  </si>
  <si>
    <t>(PST=8, PDT=MDT=7, MDT=CST=6, etc.)</t>
  </si>
  <si>
    <t>JD today</t>
  </si>
  <si>
    <t>New Cycle</t>
  </si>
  <si>
    <t>Next ToM</t>
  </si>
  <si>
    <t>Locher 2005</t>
  </si>
  <si>
    <t>2005OEJV....3....1L</t>
  </si>
  <si>
    <t>IBVS 6042</t>
  </si>
  <si>
    <t>I</t>
  </si>
  <si>
    <t>IBVS 6070</t>
  </si>
  <si>
    <t>BAD?</t>
  </si>
  <si>
    <r>
      <t>diff</t>
    </r>
    <r>
      <rPr>
        <b/>
        <vertAlign val="superscript"/>
        <sz val="10"/>
        <rFont val="Arial"/>
        <family val="2"/>
      </rPr>
      <t>2</t>
    </r>
  </si>
  <si>
    <t>Start of linear fit &gt;&gt;&gt;&gt;&gt;&gt;&gt;&gt;&gt;&gt;&gt;&gt;&gt;&gt;&gt;&gt;&gt;&gt;&gt;&gt;&gt;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</si>
  <si>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</si>
  <si>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</si>
  <si>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</si>
  <si>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</si>
  <si>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</si>
  <si>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</si>
  <si>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</si>
  <si>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</si>
  <si>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</si>
  <si>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</si>
  <si>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</si>
  <si>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</si>
  <si>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</si>
  <si>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</si>
  <si>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2429117.546 </t>
  </si>
  <si>
    <t> 07.08.1938 01:06 </t>
  </si>
  <si>
    <t> 0.268 </t>
  </si>
  <si>
    <t>P </t>
  </si>
  <si>
    <t> H.Huth </t>
  </si>
  <si>
    <t> VSS 4.143 </t>
  </si>
  <si>
    <t>2429251.350 </t>
  </si>
  <si>
    <t> 18.12.1938 20:24 </t>
  </si>
  <si>
    <t> 0.223 </t>
  </si>
  <si>
    <t>2429824.507 </t>
  </si>
  <si>
    <t> 14.07.1940 00:10 </t>
  </si>
  <si>
    <t> 0.233 </t>
  </si>
  <si>
    <t>2430780.324 </t>
  </si>
  <si>
    <t> 24.02.1943 19:46 </t>
  </si>
  <si>
    <t> 0.232 </t>
  </si>
  <si>
    <t>2430900.455 </t>
  </si>
  <si>
    <t> 24.06.1943 22:55 </t>
  </si>
  <si>
    <t> 0.242 </t>
  </si>
  <si>
    <t>2431238.506 </t>
  </si>
  <si>
    <t> 28.05.1944 00:08 </t>
  </si>
  <si>
    <t> 0.239 </t>
  </si>
  <si>
    <t>2433922.283 </t>
  </si>
  <si>
    <t> 02.10.1951 18:47 </t>
  </si>
  <si>
    <t> 0.177 </t>
  </si>
  <si>
    <t>2442404.447 </t>
  </si>
  <si>
    <t> 22.12.1974 22:43 </t>
  </si>
  <si>
    <t> 0.103 </t>
  </si>
  <si>
    <t>V </t>
  </si>
  <si>
    <t> K.Locher </t>
  </si>
  <si>
    <t> BBS 19 </t>
  </si>
  <si>
    <t>2444906.361 </t>
  </si>
  <si>
    <t> 28.10.1981 20:39 </t>
  </si>
  <si>
    <t> 0.075 </t>
  </si>
  <si>
    <t> J.Manek </t>
  </si>
  <si>
    <t> BRNO 26 </t>
  </si>
  <si>
    <t>2445915.353 </t>
  </si>
  <si>
    <t> 02.08.1984 20:28 </t>
  </si>
  <si>
    <t> 0.053 </t>
  </si>
  <si>
    <t> M.Varady </t>
  </si>
  <si>
    <t> BRNO 27 </t>
  </si>
  <si>
    <t>2445915.357 </t>
  </si>
  <si>
    <t> 02.08.1984 20:34 </t>
  </si>
  <si>
    <t> 0.057 </t>
  </si>
  <si>
    <t> J.Borovicka </t>
  </si>
  <si>
    <t> BRNO 28 </t>
  </si>
  <si>
    <t> V.Svoboda </t>
  </si>
  <si>
    <t>2445915.359 </t>
  </si>
  <si>
    <t> 02.08.1984 20:36 </t>
  </si>
  <si>
    <t> 0.059 </t>
  </si>
  <si>
    <t> R.Pleskac </t>
  </si>
  <si>
    <t>2445915.364 </t>
  </si>
  <si>
    <t> 02.08.1984 20:44 </t>
  </si>
  <si>
    <t> 0.064 </t>
  </si>
  <si>
    <t> J.Silhan </t>
  </si>
  <si>
    <t> M.Zejda </t>
  </si>
  <si>
    <t>2448506.493 </t>
  </si>
  <si>
    <t> 06.09.1991 23:49 </t>
  </si>
  <si>
    <t> 0.018 </t>
  </si>
  <si>
    <t> J.Zahajsky </t>
  </si>
  <si>
    <t> BRNO 31 </t>
  </si>
  <si>
    <t>2448506.498 </t>
  </si>
  <si>
    <t> 06.09.1991 23:57 </t>
  </si>
  <si>
    <t> 0.023 </t>
  </si>
  <si>
    <t>2450047.4400 </t>
  </si>
  <si>
    <t> 25.11.1995 22:33 </t>
  </si>
  <si>
    <t> -0.0123 </t>
  </si>
  <si>
    <t> A.Dedoch </t>
  </si>
  <si>
    <t> BRNO 32 </t>
  </si>
  <si>
    <t>2450344.322 </t>
  </si>
  <si>
    <t> 17.09.1996 19:43 </t>
  </si>
  <si>
    <t> 0.000 </t>
  </si>
  <si>
    <t>E </t>
  </si>
  <si>
    <t>?</t>
  </si>
  <si>
    <t> R.Diethelm </t>
  </si>
  <si>
    <t> BBS 113 </t>
  </si>
  <si>
    <t>2453599.593 </t>
  </si>
  <si>
    <t> 17.08.2005 02:13 </t>
  </si>
  <si>
    <t>OEJV 0003 </t>
  </si>
  <si>
    <t>2454390.6056 </t>
  </si>
  <si>
    <t> 17.10.2007 02:32 </t>
  </si>
  <si>
    <t> -0.0680 </t>
  </si>
  <si>
    <t>C </t>
  </si>
  <si>
    <t>-I</t>
  </si>
  <si>
    <t> F.Agerer </t>
  </si>
  <si>
    <t>BAVM 193 </t>
  </si>
  <si>
    <t>2456180.3669 </t>
  </si>
  <si>
    <t> 09.09.2012 20:48 </t>
  </si>
  <si>
    <t>3401</t>
  </si>
  <si>
    <t> -0.1051 </t>
  </si>
  <si>
    <t>BAVM 231 </t>
  </si>
  <si>
    <t>2456226.6989 </t>
  </si>
  <si>
    <t> 26.10.2012 04:46 </t>
  </si>
  <si>
    <t>3428</t>
  </si>
  <si>
    <t> -0.1054 </t>
  </si>
  <si>
    <t>IBVS 6042 </t>
  </si>
  <si>
    <t>s5</t>
  </si>
  <si>
    <t>s6</t>
  </si>
  <si>
    <t>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</si>
</sst>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i/>
      <sz val="10"/>
      <name val="Arial"/>
    </font>
    <font>
      <sz val="10"/>
      <color indexed="8"/>
      <name val="Arial"/>
    </font>
    <font>
      <b/>
      <vertAlign val="superscript"/>
      <sz val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4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center"/>
    </xf>
    <xf numFmtId="0" fontId="5" fillId="0" borderId="11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/>
    <xf numFmtId="0" fontId="10" fillId="0" borderId="0" xfId="0" applyFont="1" applyAlignment="1">
      <alignment horizontal="left"/>
    </xf>
    <xf numFmtId="0" fontId="9" fillId="0" borderId="0" xfId="0" applyFont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7" fillId="0" borderId="10" xfId="0" applyFont="1" applyFill="1" applyBorder="1" applyAlignment="1">
      <alignment horizontal="center"/>
    </xf>
    <xf numFmtId="0" fontId="18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>
      <alignment vertical="top"/>
    </xf>
    <xf numFmtId="0" fontId="19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0" fillId="24" borderId="18" xfId="38" applyFill="1" applyBorder="1" applyAlignment="1" applyProtection="1">
      <alignment horizontal="right" vertical="top" wrapText="1"/>
    </xf>
    <xf numFmtId="0" fontId="16" fillId="0" borderId="0" xfId="0" applyFont="1" applyAlignment="1"/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And - O-C Diagr.</a:t>
            </a:r>
          </a:p>
        </c:rich>
      </c:tx>
      <c:layout>
        <c:manualLayout>
          <c:xMode val="edge"/>
          <c:yMode val="edge"/>
          <c:x val="0.3675219059156066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00879241585271"/>
          <c:y val="0.14769252958613219"/>
          <c:w val="0.80000133547231478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78</c:v>
                </c:pt>
                <c:pt idx="3">
                  <c:v>412</c:v>
                </c:pt>
                <c:pt idx="4">
                  <c:v>969</c:v>
                </c:pt>
                <c:pt idx="5">
                  <c:v>1039</c:v>
                </c:pt>
                <c:pt idx="6">
                  <c:v>1236</c:v>
                </c:pt>
                <c:pt idx="7">
                  <c:v>2800</c:v>
                </c:pt>
                <c:pt idx="8">
                  <c:v>7743</c:v>
                </c:pt>
                <c:pt idx="9">
                  <c:v>9201</c:v>
                </c:pt>
                <c:pt idx="10">
                  <c:v>9789</c:v>
                </c:pt>
                <c:pt idx="11">
                  <c:v>9789</c:v>
                </c:pt>
                <c:pt idx="12">
                  <c:v>9789</c:v>
                </c:pt>
                <c:pt idx="13">
                  <c:v>9789</c:v>
                </c:pt>
                <c:pt idx="14">
                  <c:v>9789</c:v>
                </c:pt>
                <c:pt idx="15">
                  <c:v>9789</c:v>
                </c:pt>
                <c:pt idx="16">
                  <c:v>11299</c:v>
                </c:pt>
                <c:pt idx="17">
                  <c:v>11299</c:v>
                </c:pt>
                <c:pt idx="18">
                  <c:v>12197</c:v>
                </c:pt>
                <c:pt idx="19">
                  <c:v>12370</c:v>
                </c:pt>
                <c:pt idx="20">
                  <c:v>14267</c:v>
                </c:pt>
                <c:pt idx="21">
                  <c:v>14728</c:v>
                </c:pt>
                <c:pt idx="22">
                  <c:v>15771</c:v>
                </c:pt>
                <c:pt idx="23">
                  <c:v>15798</c:v>
                </c:pt>
                <c:pt idx="24">
                  <c:v>16401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AA-43B0-8577-CF674505EE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4.0000000000000002E-4</c:v>
                  </c:pt>
                  <c:pt idx="23">
                    <c:v>3.0000000000000003E-4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4.0000000000000002E-4</c:v>
                  </c:pt>
                  <c:pt idx="23">
                    <c:v>3.0000000000000003E-4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78</c:v>
                </c:pt>
                <c:pt idx="3">
                  <c:v>412</c:v>
                </c:pt>
                <c:pt idx="4">
                  <c:v>969</c:v>
                </c:pt>
                <c:pt idx="5">
                  <c:v>1039</c:v>
                </c:pt>
                <c:pt idx="6">
                  <c:v>1236</c:v>
                </c:pt>
                <c:pt idx="7">
                  <c:v>2800</c:v>
                </c:pt>
                <c:pt idx="8">
                  <c:v>7743</c:v>
                </c:pt>
                <c:pt idx="9">
                  <c:v>9201</c:v>
                </c:pt>
                <c:pt idx="10">
                  <c:v>9789</c:v>
                </c:pt>
                <c:pt idx="11">
                  <c:v>9789</c:v>
                </c:pt>
                <c:pt idx="12">
                  <c:v>9789</c:v>
                </c:pt>
                <c:pt idx="13">
                  <c:v>9789</c:v>
                </c:pt>
                <c:pt idx="14">
                  <c:v>9789</c:v>
                </c:pt>
                <c:pt idx="15">
                  <c:v>9789</c:v>
                </c:pt>
                <c:pt idx="16">
                  <c:v>11299</c:v>
                </c:pt>
                <c:pt idx="17">
                  <c:v>11299</c:v>
                </c:pt>
                <c:pt idx="18">
                  <c:v>12197</c:v>
                </c:pt>
                <c:pt idx="19">
                  <c:v>12370</c:v>
                </c:pt>
                <c:pt idx="20">
                  <c:v>14267</c:v>
                </c:pt>
                <c:pt idx="21">
                  <c:v>14728</c:v>
                </c:pt>
                <c:pt idx="22">
                  <c:v>15771</c:v>
                </c:pt>
                <c:pt idx="23">
                  <c:v>15798</c:v>
                </c:pt>
                <c:pt idx="24">
                  <c:v>16401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3.9999999971769284E-3</c:v>
                </c:pt>
                <c:pt idx="2">
                  <c:v>-4.078000000299653E-2</c:v>
                </c:pt>
                <c:pt idx="3">
                  <c:v>-3.1119999999646097E-2</c:v>
                </c:pt>
                <c:pt idx="4">
                  <c:v>-3.1689999999798601E-2</c:v>
                </c:pt>
                <c:pt idx="5">
                  <c:v>-2.1389999998064013E-2</c:v>
                </c:pt>
                <c:pt idx="6">
                  <c:v>-2.4359999999433057E-2</c:v>
                </c:pt>
                <c:pt idx="7">
                  <c:v>-8.6999999999534339E-2</c:v>
                </c:pt>
                <c:pt idx="8">
                  <c:v>-0.16043000000354368</c:v>
                </c:pt>
                <c:pt idx="9">
                  <c:v>-0.18901000000187196</c:v>
                </c:pt>
                <c:pt idx="10">
                  <c:v>-0.21089000000210945</c:v>
                </c:pt>
                <c:pt idx="11">
                  <c:v>-0.20689000000129454</c:v>
                </c:pt>
                <c:pt idx="12">
                  <c:v>-0.20689000000129454</c:v>
                </c:pt>
                <c:pt idx="13">
                  <c:v>-0.20489000000816304</c:v>
                </c:pt>
                <c:pt idx="14">
                  <c:v>-0.19989000000350643</c:v>
                </c:pt>
                <c:pt idx="15">
                  <c:v>-0.19989000000350643</c:v>
                </c:pt>
                <c:pt idx="16">
                  <c:v>-0.24598999999579974</c:v>
                </c:pt>
                <c:pt idx="17">
                  <c:v>-0.24098999999841908</c:v>
                </c:pt>
                <c:pt idx="18">
                  <c:v>-0.27597000000241678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AA-43B0-8577-CF674505EE3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4.0000000000000002E-4</c:v>
                  </c:pt>
                  <c:pt idx="23">
                    <c:v>3.0000000000000003E-4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4.0000000000000002E-4</c:v>
                  </c:pt>
                  <c:pt idx="2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78</c:v>
                </c:pt>
                <c:pt idx="3">
                  <c:v>412</c:v>
                </c:pt>
                <c:pt idx="4">
                  <c:v>969</c:v>
                </c:pt>
                <c:pt idx="5">
                  <c:v>1039</c:v>
                </c:pt>
                <c:pt idx="6">
                  <c:v>1236</c:v>
                </c:pt>
                <c:pt idx="7">
                  <c:v>2800</c:v>
                </c:pt>
                <c:pt idx="8">
                  <c:v>7743</c:v>
                </c:pt>
                <c:pt idx="9">
                  <c:v>9201</c:v>
                </c:pt>
                <c:pt idx="10">
                  <c:v>9789</c:v>
                </c:pt>
                <c:pt idx="11">
                  <c:v>9789</c:v>
                </c:pt>
                <c:pt idx="12">
                  <c:v>9789</c:v>
                </c:pt>
                <c:pt idx="13">
                  <c:v>9789</c:v>
                </c:pt>
                <c:pt idx="14">
                  <c:v>9789</c:v>
                </c:pt>
                <c:pt idx="15">
                  <c:v>9789</c:v>
                </c:pt>
                <c:pt idx="16">
                  <c:v>11299</c:v>
                </c:pt>
                <c:pt idx="17">
                  <c:v>11299</c:v>
                </c:pt>
                <c:pt idx="18">
                  <c:v>12197</c:v>
                </c:pt>
                <c:pt idx="19">
                  <c:v>12370</c:v>
                </c:pt>
                <c:pt idx="20">
                  <c:v>14267</c:v>
                </c:pt>
                <c:pt idx="21">
                  <c:v>14728</c:v>
                </c:pt>
                <c:pt idx="22">
                  <c:v>15771</c:v>
                </c:pt>
                <c:pt idx="23">
                  <c:v>15798</c:v>
                </c:pt>
                <c:pt idx="24">
                  <c:v>16401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9">
                  <c:v>-0.26370000000315486</c:v>
                </c:pt>
                <c:pt idx="22">
                  <c:v>-0.36880999999993946</c:v>
                </c:pt>
                <c:pt idx="23">
                  <c:v>-0.36908000000403263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AA-43B0-8577-CF674505EE3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4.0000000000000002E-4</c:v>
                  </c:pt>
                  <c:pt idx="23">
                    <c:v>3.0000000000000003E-4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4.0000000000000002E-4</c:v>
                  </c:pt>
                  <c:pt idx="23">
                    <c:v>3.0000000000000003E-4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78</c:v>
                </c:pt>
                <c:pt idx="3">
                  <c:v>412</c:v>
                </c:pt>
                <c:pt idx="4">
                  <c:v>969</c:v>
                </c:pt>
                <c:pt idx="5">
                  <c:v>1039</c:v>
                </c:pt>
                <c:pt idx="6">
                  <c:v>1236</c:v>
                </c:pt>
                <c:pt idx="7">
                  <c:v>2800</c:v>
                </c:pt>
                <c:pt idx="8">
                  <c:v>7743</c:v>
                </c:pt>
                <c:pt idx="9">
                  <c:v>9201</c:v>
                </c:pt>
                <c:pt idx="10">
                  <c:v>9789</c:v>
                </c:pt>
                <c:pt idx="11">
                  <c:v>9789</c:v>
                </c:pt>
                <c:pt idx="12">
                  <c:v>9789</c:v>
                </c:pt>
                <c:pt idx="13">
                  <c:v>9789</c:v>
                </c:pt>
                <c:pt idx="14">
                  <c:v>9789</c:v>
                </c:pt>
                <c:pt idx="15">
                  <c:v>9789</c:v>
                </c:pt>
                <c:pt idx="16">
                  <c:v>11299</c:v>
                </c:pt>
                <c:pt idx="17">
                  <c:v>11299</c:v>
                </c:pt>
                <c:pt idx="18">
                  <c:v>12197</c:v>
                </c:pt>
                <c:pt idx="19">
                  <c:v>12370</c:v>
                </c:pt>
                <c:pt idx="20">
                  <c:v>14267</c:v>
                </c:pt>
                <c:pt idx="21">
                  <c:v>14728</c:v>
                </c:pt>
                <c:pt idx="22">
                  <c:v>15771</c:v>
                </c:pt>
                <c:pt idx="23">
                  <c:v>15798</c:v>
                </c:pt>
                <c:pt idx="24">
                  <c:v>16401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1">
                  <c:v>-0.33167999999568565</c:v>
                </c:pt>
                <c:pt idx="24">
                  <c:v>-0.38781000000017229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AA-43B0-8577-CF674505EE3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4.0000000000000002E-4</c:v>
                  </c:pt>
                  <c:pt idx="23">
                    <c:v>3.0000000000000003E-4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4.0000000000000002E-4</c:v>
                  </c:pt>
                  <c:pt idx="23">
                    <c:v>3.0000000000000003E-4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78</c:v>
                </c:pt>
                <c:pt idx="3">
                  <c:v>412</c:v>
                </c:pt>
                <c:pt idx="4">
                  <c:v>969</c:v>
                </c:pt>
                <c:pt idx="5">
                  <c:v>1039</c:v>
                </c:pt>
                <c:pt idx="6">
                  <c:v>1236</c:v>
                </c:pt>
                <c:pt idx="7">
                  <c:v>2800</c:v>
                </c:pt>
                <c:pt idx="8">
                  <c:v>7743</c:v>
                </c:pt>
                <c:pt idx="9">
                  <c:v>9201</c:v>
                </c:pt>
                <c:pt idx="10">
                  <c:v>9789</c:v>
                </c:pt>
                <c:pt idx="11">
                  <c:v>9789</c:v>
                </c:pt>
                <c:pt idx="12">
                  <c:v>9789</c:v>
                </c:pt>
                <c:pt idx="13">
                  <c:v>9789</c:v>
                </c:pt>
                <c:pt idx="14">
                  <c:v>9789</c:v>
                </c:pt>
                <c:pt idx="15">
                  <c:v>9789</c:v>
                </c:pt>
                <c:pt idx="16">
                  <c:v>11299</c:v>
                </c:pt>
                <c:pt idx="17">
                  <c:v>11299</c:v>
                </c:pt>
                <c:pt idx="18">
                  <c:v>12197</c:v>
                </c:pt>
                <c:pt idx="19">
                  <c:v>12370</c:v>
                </c:pt>
                <c:pt idx="20">
                  <c:v>14267</c:v>
                </c:pt>
                <c:pt idx="21">
                  <c:v>14728</c:v>
                </c:pt>
                <c:pt idx="22">
                  <c:v>15771</c:v>
                </c:pt>
                <c:pt idx="23">
                  <c:v>15798</c:v>
                </c:pt>
                <c:pt idx="24">
                  <c:v>16401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AA-43B0-8577-CF674505EE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4.0000000000000002E-4</c:v>
                  </c:pt>
                  <c:pt idx="23">
                    <c:v>3.0000000000000003E-4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4.0000000000000002E-4</c:v>
                  </c:pt>
                  <c:pt idx="23">
                    <c:v>3.0000000000000003E-4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78</c:v>
                </c:pt>
                <c:pt idx="3">
                  <c:v>412</c:v>
                </c:pt>
                <c:pt idx="4">
                  <c:v>969</c:v>
                </c:pt>
                <c:pt idx="5">
                  <c:v>1039</c:v>
                </c:pt>
                <c:pt idx="6">
                  <c:v>1236</c:v>
                </c:pt>
                <c:pt idx="7">
                  <c:v>2800</c:v>
                </c:pt>
                <c:pt idx="8">
                  <c:v>7743</c:v>
                </c:pt>
                <c:pt idx="9">
                  <c:v>9201</c:v>
                </c:pt>
                <c:pt idx="10">
                  <c:v>9789</c:v>
                </c:pt>
                <c:pt idx="11">
                  <c:v>9789</c:v>
                </c:pt>
                <c:pt idx="12">
                  <c:v>9789</c:v>
                </c:pt>
                <c:pt idx="13">
                  <c:v>9789</c:v>
                </c:pt>
                <c:pt idx="14">
                  <c:v>9789</c:v>
                </c:pt>
                <c:pt idx="15">
                  <c:v>9789</c:v>
                </c:pt>
                <c:pt idx="16">
                  <c:v>11299</c:v>
                </c:pt>
                <c:pt idx="17">
                  <c:v>11299</c:v>
                </c:pt>
                <c:pt idx="18">
                  <c:v>12197</c:v>
                </c:pt>
                <c:pt idx="19">
                  <c:v>12370</c:v>
                </c:pt>
                <c:pt idx="20">
                  <c:v>14267</c:v>
                </c:pt>
                <c:pt idx="21">
                  <c:v>14728</c:v>
                </c:pt>
                <c:pt idx="22">
                  <c:v>15771</c:v>
                </c:pt>
                <c:pt idx="23">
                  <c:v>15798</c:v>
                </c:pt>
                <c:pt idx="24">
                  <c:v>16401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AA-43B0-8577-CF674505EE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4.0000000000000002E-4</c:v>
                  </c:pt>
                  <c:pt idx="23">
                    <c:v>3.0000000000000003E-4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4.0000000000000002E-4</c:v>
                  </c:pt>
                  <c:pt idx="23">
                    <c:v>3.0000000000000003E-4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78</c:v>
                </c:pt>
                <c:pt idx="3">
                  <c:v>412</c:v>
                </c:pt>
                <c:pt idx="4">
                  <c:v>969</c:v>
                </c:pt>
                <c:pt idx="5">
                  <c:v>1039</c:v>
                </c:pt>
                <c:pt idx="6">
                  <c:v>1236</c:v>
                </c:pt>
                <c:pt idx="7">
                  <c:v>2800</c:v>
                </c:pt>
                <c:pt idx="8">
                  <c:v>7743</c:v>
                </c:pt>
                <c:pt idx="9">
                  <c:v>9201</c:v>
                </c:pt>
                <c:pt idx="10">
                  <c:v>9789</c:v>
                </c:pt>
                <c:pt idx="11">
                  <c:v>9789</c:v>
                </c:pt>
                <c:pt idx="12">
                  <c:v>9789</c:v>
                </c:pt>
                <c:pt idx="13">
                  <c:v>9789</c:v>
                </c:pt>
                <c:pt idx="14">
                  <c:v>9789</c:v>
                </c:pt>
                <c:pt idx="15">
                  <c:v>9789</c:v>
                </c:pt>
                <c:pt idx="16">
                  <c:v>11299</c:v>
                </c:pt>
                <c:pt idx="17">
                  <c:v>11299</c:v>
                </c:pt>
                <c:pt idx="18">
                  <c:v>12197</c:v>
                </c:pt>
                <c:pt idx="19">
                  <c:v>12370</c:v>
                </c:pt>
                <c:pt idx="20">
                  <c:v>14267</c:v>
                </c:pt>
                <c:pt idx="21">
                  <c:v>14728</c:v>
                </c:pt>
                <c:pt idx="22">
                  <c:v>15771</c:v>
                </c:pt>
                <c:pt idx="23">
                  <c:v>15798</c:v>
                </c:pt>
                <c:pt idx="24">
                  <c:v>16401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AA-43B0-8577-CF674505EE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78</c:v>
                </c:pt>
                <c:pt idx="3">
                  <c:v>412</c:v>
                </c:pt>
                <c:pt idx="4">
                  <c:v>969</c:v>
                </c:pt>
                <c:pt idx="5">
                  <c:v>1039</c:v>
                </c:pt>
                <c:pt idx="6">
                  <c:v>1236</c:v>
                </c:pt>
                <c:pt idx="7">
                  <c:v>2800</c:v>
                </c:pt>
                <c:pt idx="8">
                  <c:v>7743</c:v>
                </c:pt>
                <c:pt idx="9">
                  <c:v>9201</c:v>
                </c:pt>
                <c:pt idx="10">
                  <c:v>9789</c:v>
                </c:pt>
                <c:pt idx="11">
                  <c:v>9789</c:v>
                </c:pt>
                <c:pt idx="12">
                  <c:v>9789</c:v>
                </c:pt>
                <c:pt idx="13">
                  <c:v>9789</c:v>
                </c:pt>
                <c:pt idx="14">
                  <c:v>9789</c:v>
                </c:pt>
                <c:pt idx="15">
                  <c:v>9789</c:v>
                </c:pt>
                <c:pt idx="16">
                  <c:v>11299</c:v>
                </c:pt>
                <c:pt idx="17">
                  <c:v>11299</c:v>
                </c:pt>
                <c:pt idx="18">
                  <c:v>12197</c:v>
                </c:pt>
                <c:pt idx="19">
                  <c:v>12370</c:v>
                </c:pt>
                <c:pt idx="20">
                  <c:v>14267</c:v>
                </c:pt>
                <c:pt idx="21">
                  <c:v>14728</c:v>
                </c:pt>
                <c:pt idx="22">
                  <c:v>15771</c:v>
                </c:pt>
                <c:pt idx="23">
                  <c:v>15798</c:v>
                </c:pt>
                <c:pt idx="24">
                  <c:v>16401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6.2047931536425127E-2</c:v>
                </c:pt>
                <c:pt idx="1">
                  <c:v>6.2047931536425127E-2</c:v>
                </c:pt>
                <c:pt idx="2">
                  <c:v>5.9927650543954547E-2</c:v>
                </c:pt>
                <c:pt idx="3">
                  <c:v>5.084849860183694E-2</c:v>
                </c:pt>
                <c:pt idx="4">
                  <c:v>3.570751766842524E-2</c:v>
                </c:pt>
                <c:pt idx="5">
                  <c:v>3.3804701393131131E-2</c:v>
                </c:pt>
                <c:pt idx="6">
                  <c:v>2.8449632732660567E-2</c:v>
                </c:pt>
                <c:pt idx="7">
                  <c:v>-1.4064719475339243E-2</c:v>
                </c:pt>
                <c:pt idx="8">
                  <c:v>-0.14843073160075043</c:v>
                </c:pt>
                <c:pt idx="9">
                  <c:v>-0.188063676306162</c:v>
                </c:pt>
                <c:pt idx="10">
                  <c:v>-0.20404733301863254</c:v>
                </c:pt>
                <c:pt idx="11">
                  <c:v>-0.20404733301863254</c:v>
                </c:pt>
                <c:pt idx="12">
                  <c:v>-0.20404733301863254</c:v>
                </c:pt>
                <c:pt idx="13">
                  <c:v>-0.20404733301863254</c:v>
                </c:pt>
                <c:pt idx="14">
                  <c:v>-0.20404733301863254</c:v>
                </c:pt>
                <c:pt idx="15">
                  <c:v>-0.20404733301863254</c:v>
                </c:pt>
                <c:pt idx="16">
                  <c:v>-0.24509379838569118</c:v>
                </c:pt>
                <c:pt idx="17">
                  <c:v>-0.24509379838569118</c:v>
                </c:pt>
                <c:pt idx="18">
                  <c:v>-0.26950421288874987</c:v>
                </c:pt>
                <c:pt idx="19">
                  <c:v>-0.27420688739769106</c:v>
                </c:pt>
                <c:pt idx="20">
                  <c:v>-0.32577320845816143</c:v>
                </c:pt>
                <c:pt idx="21">
                  <c:v>-0.33830461278545548</c:v>
                </c:pt>
                <c:pt idx="22">
                  <c:v>-0.36665657528733769</c:v>
                </c:pt>
                <c:pt idx="23">
                  <c:v>-0.36739051870780831</c:v>
                </c:pt>
                <c:pt idx="24">
                  <c:v>-0.38378192176498471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AA-43B0-8577-CF674505EE3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78</c:v>
                </c:pt>
                <c:pt idx="3">
                  <c:v>412</c:v>
                </c:pt>
                <c:pt idx="4">
                  <c:v>969</c:v>
                </c:pt>
                <c:pt idx="5">
                  <c:v>1039</c:v>
                </c:pt>
                <c:pt idx="6">
                  <c:v>1236</c:v>
                </c:pt>
                <c:pt idx="7">
                  <c:v>2800</c:v>
                </c:pt>
                <c:pt idx="8">
                  <c:v>7743</c:v>
                </c:pt>
                <c:pt idx="9">
                  <c:v>9201</c:v>
                </c:pt>
                <c:pt idx="10">
                  <c:v>9789</c:v>
                </c:pt>
                <c:pt idx="11">
                  <c:v>9789</c:v>
                </c:pt>
                <c:pt idx="12">
                  <c:v>9789</c:v>
                </c:pt>
                <c:pt idx="13">
                  <c:v>9789</c:v>
                </c:pt>
                <c:pt idx="14">
                  <c:v>9789</c:v>
                </c:pt>
                <c:pt idx="15">
                  <c:v>9789</c:v>
                </c:pt>
                <c:pt idx="16">
                  <c:v>11299</c:v>
                </c:pt>
                <c:pt idx="17">
                  <c:v>11299</c:v>
                </c:pt>
                <c:pt idx="18">
                  <c:v>12197</c:v>
                </c:pt>
                <c:pt idx="19">
                  <c:v>12370</c:v>
                </c:pt>
                <c:pt idx="20">
                  <c:v>14267</c:v>
                </c:pt>
                <c:pt idx="21">
                  <c:v>14728</c:v>
                </c:pt>
                <c:pt idx="22">
                  <c:v>15771</c:v>
                </c:pt>
                <c:pt idx="23">
                  <c:v>15798</c:v>
                </c:pt>
                <c:pt idx="24">
                  <c:v>16401</c:v>
                </c:pt>
              </c:numCache>
            </c:numRef>
          </c:xVal>
          <c:yVal>
            <c:numRef>
              <c:f>Active!$R$21:$R$993</c:f>
              <c:numCache>
                <c:formatCode>General</c:formatCode>
                <c:ptCount val="973"/>
                <c:pt idx="20">
                  <c:v>-0.26367000000027474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AA-43B0-8577-CF674505E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03608"/>
        <c:axId val="1"/>
      </c:scatterChart>
      <c:valAx>
        <c:axId val="796703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8722211005679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03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71812818269511"/>
          <c:y val="0.92000129214617399"/>
          <c:w val="0.8017106579626265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15</xdr:col>
      <xdr:colOff>504825</xdr:colOff>
      <xdr:row>18</xdr:row>
      <xdr:rowOff>19050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5D7C2996-8B37-528E-8704-7EB83DB98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93" TargetMode="External"/><Relationship Id="rId2" Type="http://schemas.openxmlformats.org/officeDocument/2006/relationships/hyperlink" Target="http://var.astro.cz/oejv/issues/oejv0003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konkoly.hu/cgi-bin/IBVS?6042" TargetMode="External"/><Relationship Id="rId4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F47"/>
  <sheetViews>
    <sheetView tabSelected="1" workbookViewId="0">
      <selection activeCell="C9" sqref="C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710937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  <c r="B1" s="11"/>
      <c r="C1" s="10"/>
    </row>
    <row r="2" spans="1:6" x14ac:dyDescent="0.2">
      <c r="A2" t="s">
        <v>26</v>
      </c>
      <c r="B2" s="12" t="s">
        <v>33</v>
      </c>
    </row>
    <row r="4" spans="1:6" ht="14.25" thickTop="1" thickBot="1" x14ac:dyDescent="0.25">
      <c r="A4" s="7" t="s">
        <v>2</v>
      </c>
      <c r="C4" s="3">
        <v>29117.542000000001</v>
      </c>
      <c r="D4" s="4">
        <v>1.715989</v>
      </c>
    </row>
    <row r="5" spans="1:6" ht="13.5" thickTop="1" x14ac:dyDescent="0.2">
      <c r="A5" s="13" t="s">
        <v>36</v>
      </c>
      <c r="B5" s="14"/>
      <c r="C5" s="15">
        <v>-9.5</v>
      </c>
      <c r="D5" s="14" t="s">
        <v>37</v>
      </c>
    </row>
    <row r="6" spans="1:6" x14ac:dyDescent="0.2">
      <c r="A6" s="7" t="s">
        <v>3</v>
      </c>
    </row>
    <row r="7" spans="1:6" x14ac:dyDescent="0.2">
      <c r="A7" t="s">
        <v>4</v>
      </c>
      <c r="C7">
        <v>29117.542000000001</v>
      </c>
    </row>
    <row r="8" spans="1:6" x14ac:dyDescent="0.2">
      <c r="A8" t="s">
        <v>5</v>
      </c>
      <c r="C8">
        <v>1.71601</v>
      </c>
    </row>
    <row r="9" spans="1:6" x14ac:dyDescent="0.2">
      <c r="A9" s="34" t="s">
        <v>48</v>
      </c>
      <c r="B9" s="35">
        <v>30</v>
      </c>
      <c r="C9" s="36" t="str">
        <f>"F"&amp;B9</f>
        <v>F30</v>
      </c>
      <c r="D9" s="29" t="str">
        <f>"G"&amp;B9</f>
        <v>G30</v>
      </c>
    </row>
    <row r="10" spans="1:6" ht="13.5" thickBot="1" x14ac:dyDescent="0.25">
      <c r="A10" s="14"/>
      <c r="B10" s="14"/>
      <c r="C10" s="6" t="s">
        <v>22</v>
      </c>
      <c r="D10" s="6" t="s">
        <v>23</v>
      </c>
      <c r="E10" s="14"/>
    </row>
    <row r="11" spans="1:6" x14ac:dyDescent="0.2">
      <c r="A11" s="14" t="s">
        <v>18</v>
      </c>
      <c r="B11" s="14"/>
      <c r="C11" s="37">
        <f ca="1">INTERCEPT(INDIRECT($D$9):G992,INDIRECT($C$9):F992)</f>
        <v>6.2047931536425127E-2</v>
      </c>
      <c r="D11" s="5"/>
      <c r="E11" s="14"/>
    </row>
    <row r="12" spans="1:6" x14ac:dyDescent="0.2">
      <c r="A12" s="14" t="s">
        <v>19</v>
      </c>
      <c r="B12" s="14"/>
      <c r="C12" s="37">
        <f ca="1">SLOPE(INDIRECT($D$9):G992,INDIRECT($C$9):F992)</f>
        <v>-2.7183089647058705E-5</v>
      </c>
      <c r="D12" s="5"/>
      <c r="E12" s="14"/>
    </row>
    <row r="13" spans="1:6" x14ac:dyDescent="0.2">
      <c r="A13" s="14" t="s">
        <v>21</v>
      </c>
      <c r="B13" s="14"/>
      <c r="C13" s="5" t="s">
        <v>16</v>
      </c>
    </row>
    <row r="14" spans="1:6" x14ac:dyDescent="0.2">
      <c r="A14" s="14"/>
      <c r="B14" s="14"/>
      <c r="C14" s="14"/>
    </row>
    <row r="15" spans="1:6" x14ac:dyDescent="0.2">
      <c r="A15" s="16" t="s">
        <v>20</v>
      </c>
      <c r="B15" s="14"/>
      <c r="C15" s="17">
        <f ca="1">(C7+C11)+(C8+C12)*INT(MAX(F21:F3533))</f>
        <v>57261.438228078237</v>
      </c>
      <c r="E15" s="18" t="s">
        <v>49</v>
      </c>
      <c r="F15" s="15">
        <v>1</v>
      </c>
    </row>
    <row r="16" spans="1:6" x14ac:dyDescent="0.2">
      <c r="A16" s="20" t="s">
        <v>6</v>
      </c>
      <c r="B16" s="14"/>
      <c r="C16" s="21">
        <f ca="1">+C8+C12</f>
        <v>1.715982816910353</v>
      </c>
      <c r="E16" s="18" t="s">
        <v>38</v>
      </c>
      <c r="F16" s="19">
        <f ca="1">NOW()+15018.5+$C$5/24</f>
        <v>60094.852206134259</v>
      </c>
    </row>
    <row r="17" spans="1:32" ht="13.5" thickBot="1" x14ac:dyDescent="0.25">
      <c r="A17" s="18" t="s">
        <v>34</v>
      </c>
      <c r="B17" s="14"/>
      <c r="C17" s="14">
        <f>COUNT(C21:C2191)</f>
        <v>25</v>
      </c>
      <c r="E17" s="18" t="s">
        <v>50</v>
      </c>
      <c r="F17" s="19">
        <f ca="1">ROUND(2*(F16-$C$7)/$C$8,0)/2+F15</f>
        <v>18053</v>
      </c>
    </row>
    <row r="18" spans="1:32" ht="14.25" thickTop="1" thickBot="1" x14ac:dyDescent="0.25">
      <c r="A18" s="20" t="s">
        <v>7</v>
      </c>
      <c r="B18" s="14"/>
      <c r="C18" s="23">
        <f ca="1">+C15</f>
        <v>57261.438228078237</v>
      </c>
      <c r="D18" s="24">
        <f ca="1">+C16</f>
        <v>1.715982816910353</v>
      </c>
      <c r="E18" s="18" t="s">
        <v>39</v>
      </c>
      <c r="F18" s="29">
        <f ca="1">ROUND(2*(F16-$C$15)/$C$16,0)/2+F15</f>
        <v>1652</v>
      </c>
      <c r="S18">
        <f ca="1">SQRT(SUM(S21:S26)/(COUNT(S21:S26)-1))</f>
        <v>7.9585493973592991E-2</v>
      </c>
    </row>
    <row r="19" spans="1:32" ht="13.5" thickTop="1" x14ac:dyDescent="0.2">
      <c r="E19" s="18" t="s">
        <v>40</v>
      </c>
      <c r="F19" s="22">
        <f ca="1">+$C$15+$C$16*F18-15018.5-$C$5/24</f>
        <v>45078.13767494748</v>
      </c>
    </row>
    <row r="20" spans="1:32" ht="1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58</v>
      </c>
      <c r="I20" s="9" t="s">
        <v>61</v>
      </c>
      <c r="J20" s="9" t="s">
        <v>55</v>
      </c>
      <c r="K20" s="9" t="s">
        <v>53</v>
      </c>
      <c r="L20" s="9" t="s">
        <v>158</v>
      </c>
      <c r="M20" s="9" t="s">
        <v>159</v>
      </c>
      <c r="N20" s="9" t="s">
        <v>160</v>
      </c>
      <c r="O20" s="9" t="s">
        <v>25</v>
      </c>
      <c r="P20" s="8" t="s">
        <v>24</v>
      </c>
      <c r="Q20" s="6" t="s">
        <v>17</v>
      </c>
      <c r="R20" s="33" t="s">
        <v>46</v>
      </c>
      <c r="S20" s="33" t="s">
        <v>47</v>
      </c>
    </row>
    <row r="21" spans="1:32" x14ac:dyDescent="0.2">
      <c r="A21" t="s">
        <v>14</v>
      </c>
      <c r="C21" s="25">
        <v>29117.542000000001</v>
      </c>
      <c r="D21" s="25" t="s">
        <v>16</v>
      </c>
      <c r="E21">
        <f t="shared" ref="E21:E44" si="0">+(C21-C$7)/C$8</f>
        <v>0</v>
      </c>
      <c r="F21">
        <f t="shared" ref="F21:F45" si="1">ROUND(2*E21,0)/2</f>
        <v>0</v>
      </c>
      <c r="G21">
        <f t="shared" ref="G21:G40" si="2">+C21-(C$7+F21*C$8)</f>
        <v>0</v>
      </c>
      <c r="H21">
        <f>+G21</f>
        <v>0</v>
      </c>
      <c r="O21">
        <f t="shared" ref="O21:O44" ca="1" si="3">+C$11+C$12*F21</f>
        <v>6.2047931536425127E-2</v>
      </c>
      <c r="Q21" s="2">
        <f t="shared" ref="Q21:Q44" si="4">+C21-15018.5</f>
        <v>14099.042000000001</v>
      </c>
      <c r="S21">
        <f t="shared" ref="S21:S40" ca="1" si="5">+(O21-G21)^2</f>
        <v>3.8499458079488996E-3</v>
      </c>
    </row>
    <row r="22" spans="1:32" x14ac:dyDescent="0.2">
      <c r="A22" t="s">
        <v>68</v>
      </c>
      <c r="B22" s="5" t="s">
        <v>44</v>
      </c>
      <c r="C22" s="25">
        <v>29117.545999999998</v>
      </c>
      <c r="D22" s="25" t="s">
        <v>61</v>
      </c>
      <c r="E22">
        <f t="shared" si="0"/>
        <v>2.3309887455066859E-3</v>
      </c>
      <c r="F22">
        <f t="shared" si="1"/>
        <v>0</v>
      </c>
      <c r="G22">
        <f t="shared" si="2"/>
        <v>3.9999999971769284E-3</v>
      </c>
      <c r="I22">
        <f t="shared" ref="I22:I39" si="6">G22</f>
        <v>3.9999999971769284E-3</v>
      </c>
      <c r="O22">
        <f t="shared" ca="1" si="3"/>
        <v>6.2047931536425127E-2</v>
      </c>
      <c r="Q22" s="2">
        <f t="shared" si="4"/>
        <v>14099.045999999998</v>
      </c>
      <c r="S22">
        <f t="shared" ca="1" si="5"/>
        <v>3.3695623559852456E-3</v>
      </c>
      <c r="AA22">
        <v>6</v>
      </c>
      <c r="AC22" t="s">
        <v>27</v>
      </c>
      <c r="AF22" t="s">
        <v>29</v>
      </c>
    </row>
    <row r="23" spans="1:32" x14ac:dyDescent="0.2">
      <c r="A23" t="s">
        <v>68</v>
      </c>
      <c r="B23" s="5" t="s">
        <v>44</v>
      </c>
      <c r="C23" s="25">
        <v>29251.35</v>
      </c>
      <c r="D23" s="25" t="s">
        <v>61</v>
      </c>
      <c r="E23">
        <f t="shared" si="0"/>
        <v>77.976235569721197</v>
      </c>
      <c r="F23">
        <f t="shared" si="1"/>
        <v>78</v>
      </c>
      <c r="G23">
        <f t="shared" si="2"/>
        <v>-4.078000000299653E-2</v>
      </c>
      <c r="I23">
        <f t="shared" si="6"/>
        <v>-4.078000000299653E-2</v>
      </c>
      <c r="O23">
        <f t="shared" ca="1" si="3"/>
        <v>5.9927650543954547E-2</v>
      </c>
      <c r="Q23" s="2">
        <f t="shared" si="4"/>
        <v>14232.849999999999</v>
      </c>
      <c r="S23">
        <f t="shared" ca="1" si="5"/>
        <v>1.0142030878686816E-2</v>
      </c>
      <c r="AA23">
        <v>11</v>
      </c>
      <c r="AC23" t="s">
        <v>30</v>
      </c>
      <c r="AD23" t="s">
        <v>31</v>
      </c>
      <c r="AF23" t="s">
        <v>29</v>
      </c>
    </row>
    <row r="24" spans="1:32" x14ac:dyDescent="0.2">
      <c r="A24" t="s">
        <v>68</v>
      </c>
      <c r="B24" s="5" t="s">
        <v>44</v>
      </c>
      <c r="C24" s="25">
        <v>29824.507000000001</v>
      </c>
      <c r="D24" s="25" t="s">
        <v>61</v>
      </c>
      <c r="E24">
        <f t="shared" si="0"/>
        <v>411.98186490754722</v>
      </c>
      <c r="F24">
        <f t="shared" si="1"/>
        <v>412</v>
      </c>
      <c r="G24">
        <f t="shared" si="2"/>
        <v>-3.1119999999646097E-2</v>
      </c>
      <c r="I24">
        <f t="shared" si="6"/>
        <v>-3.1119999999646097E-2</v>
      </c>
      <c r="O24">
        <f t="shared" ca="1" si="3"/>
        <v>5.084849860183694E-2</v>
      </c>
      <c r="Q24" s="2">
        <f t="shared" si="4"/>
        <v>14806.007000000001</v>
      </c>
      <c r="S24">
        <f t="shared" ca="1" si="5"/>
        <v>6.7188347629813256E-3</v>
      </c>
    </row>
    <row r="25" spans="1:32" x14ac:dyDescent="0.2">
      <c r="A25" t="s">
        <v>68</v>
      </c>
      <c r="B25" s="5" t="s">
        <v>44</v>
      </c>
      <c r="C25" s="25">
        <v>30780.324000000001</v>
      </c>
      <c r="D25" s="25" t="s">
        <v>61</v>
      </c>
      <c r="E25">
        <f t="shared" si="0"/>
        <v>968.9815327416502</v>
      </c>
      <c r="F25">
        <f t="shared" si="1"/>
        <v>969</v>
      </c>
      <c r="G25">
        <f t="shared" si="2"/>
        <v>-3.1689999999798601E-2</v>
      </c>
      <c r="I25">
        <f t="shared" si="6"/>
        <v>-3.1689999999798601E-2</v>
      </c>
      <c r="O25">
        <f t="shared" ca="1" si="3"/>
        <v>3.570751766842524E-2</v>
      </c>
      <c r="Q25" s="2">
        <f t="shared" si="4"/>
        <v>15761.824000000001</v>
      </c>
      <c r="S25">
        <f t="shared" ca="1" si="5"/>
        <v>4.5424253878385452E-3</v>
      </c>
    </row>
    <row r="26" spans="1:32" x14ac:dyDescent="0.2">
      <c r="A26" t="s">
        <v>68</v>
      </c>
      <c r="B26" s="5" t="s">
        <v>44</v>
      </c>
      <c r="C26" s="25">
        <v>30900.455000000002</v>
      </c>
      <c r="D26" s="25" t="s">
        <v>61</v>
      </c>
      <c r="E26">
        <f t="shared" si="0"/>
        <v>1038.9875350376749</v>
      </c>
      <c r="F26">
        <f t="shared" si="1"/>
        <v>1039</v>
      </c>
      <c r="G26">
        <f t="shared" si="2"/>
        <v>-2.1389999998064013E-2</v>
      </c>
      <c r="I26">
        <f t="shared" si="6"/>
        <v>-2.1389999998064013E-2</v>
      </c>
      <c r="O26">
        <f t="shared" ca="1" si="3"/>
        <v>3.3804701393131131E-2</v>
      </c>
      <c r="Q26" s="2">
        <f t="shared" si="4"/>
        <v>15881.955000000002</v>
      </c>
      <c r="S26">
        <f t="shared" ca="1" si="5"/>
        <v>3.0464550616631993E-3</v>
      </c>
    </row>
    <row r="27" spans="1:32" x14ac:dyDescent="0.2">
      <c r="A27" t="s">
        <v>68</v>
      </c>
      <c r="B27" s="5" t="s">
        <v>44</v>
      </c>
      <c r="C27" s="25">
        <v>31238.506000000001</v>
      </c>
      <c r="D27" s="25" t="s">
        <v>61</v>
      </c>
      <c r="E27">
        <f t="shared" si="0"/>
        <v>1235.9858042785297</v>
      </c>
      <c r="F27">
        <f t="shared" si="1"/>
        <v>1236</v>
      </c>
      <c r="G27">
        <f t="shared" si="2"/>
        <v>-2.4359999999433057E-2</v>
      </c>
      <c r="I27">
        <f t="shared" si="6"/>
        <v>-2.4359999999433057E-2</v>
      </c>
      <c r="O27">
        <f t="shared" ca="1" si="3"/>
        <v>2.8449632732660567E-2</v>
      </c>
      <c r="Q27" s="2">
        <f t="shared" si="4"/>
        <v>16220.006000000001</v>
      </c>
      <c r="S27">
        <f t="shared" ca="1" si="5"/>
        <v>2.7888573092986141E-3</v>
      </c>
    </row>
    <row r="28" spans="1:32" x14ac:dyDescent="0.2">
      <c r="A28" t="s">
        <v>68</v>
      </c>
      <c r="B28" s="5" t="s">
        <v>44</v>
      </c>
      <c r="C28" s="25">
        <v>33922.283000000003</v>
      </c>
      <c r="D28" s="25" t="s">
        <v>61</v>
      </c>
      <c r="E28">
        <f t="shared" si="0"/>
        <v>2799.9493009947505</v>
      </c>
      <c r="F28">
        <f t="shared" si="1"/>
        <v>2800</v>
      </c>
      <c r="G28">
        <f t="shared" si="2"/>
        <v>-8.6999999999534339E-2</v>
      </c>
      <c r="I28">
        <f t="shared" si="6"/>
        <v>-8.6999999999534339E-2</v>
      </c>
      <c r="O28">
        <f t="shared" ca="1" si="3"/>
        <v>-1.4064719475339243E-2</v>
      </c>
      <c r="Q28" s="2">
        <f t="shared" si="4"/>
        <v>18903.783000000003</v>
      </c>
      <c r="S28">
        <f t="shared" ca="1" si="5"/>
        <v>5.3195551451430323E-3</v>
      </c>
    </row>
    <row r="29" spans="1:32" x14ac:dyDescent="0.2">
      <c r="A29" t="s">
        <v>28</v>
      </c>
      <c r="C29" s="26">
        <v>42404.447</v>
      </c>
      <c r="D29" s="25"/>
      <c r="E29">
        <f t="shared" si="0"/>
        <v>7742.9065098688225</v>
      </c>
      <c r="F29">
        <f t="shared" si="1"/>
        <v>7743</v>
      </c>
      <c r="G29">
        <f t="shared" si="2"/>
        <v>-0.16043000000354368</v>
      </c>
      <c r="I29">
        <f t="shared" si="6"/>
        <v>-0.16043000000354368</v>
      </c>
      <c r="O29">
        <f t="shared" ca="1" si="3"/>
        <v>-0.14843073160075043</v>
      </c>
      <c r="Q29" s="2">
        <f t="shared" si="4"/>
        <v>27385.947</v>
      </c>
      <c r="S29">
        <f t="shared" ca="1" si="5"/>
        <v>1.4398244220227248E-4</v>
      </c>
    </row>
    <row r="30" spans="1:32" x14ac:dyDescent="0.2">
      <c r="A30" t="s">
        <v>97</v>
      </c>
      <c r="B30" s="5" t="s">
        <v>44</v>
      </c>
      <c r="C30" s="25">
        <v>44906.360999999997</v>
      </c>
      <c r="D30" s="25" t="s">
        <v>61</v>
      </c>
      <c r="E30">
        <f t="shared" si="0"/>
        <v>9200.8898549542228</v>
      </c>
      <c r="F30">
        <f t="shared" si="1"/>
        <v>9201</v>
      </c>
      <c r="G30">
        <f t="shared" si="2"/>
        <v>-0.18901000000187196</v>
      </c>
      <c r="I30">
        <f t="shared" si="6"/>
        <v>-0.18901000000187196</v>
      </c>
      <c r="O30">
        <f t="shared" ca="1" si="3"/>
        <v>-0.188063676306162</v>
      </c>
      <c r="Q30" s="2">
        <f t="shared" si="4"/>
        <v>29887.860999999997</v>
      </c>
      <c r="S30">
        <f t="shared" ca="1" si="5"/>
        <v>8.9552853706215847E-7</v>
      </c>
    </row>
    <row r="31" spans="1:32" x14ac:dyDescent="0.2">
      <c r="A31" t="s">
        <v>102</v>
      </c>
      <c r="B31" s="5" t="s">
        <v>44</v>
      </c>
      <c r="C31" s="25">
        <v>45915.353000000003</v>
      </c>
      <c r="D31" s="25" t="s">
        <v>61</v>
      </c>
      <c r="E31">
        <f t="shared" si="0"/>
        <v>9788.877104445779</v>
      </c>
      <c r="F31">
        <f t="shared" si="1"/>
        <v>9789</v>
      </c>
      <c r="G31">
        <f t="shared" si="2"/>
        <v>-0.21089000000210945</v>
      </c>
      <c r="I31">
        <f t="shared" si="6"/>
        <v>-0.21089000000210945</v>
      </c>
      <c r="O31">
        <f t="shared" ca="1" si="3"/>
        <v>-0.20404733301863254</v>
      </c>
      <c r="Q31" s="2">
        <f t="shared" si="4"/>
        <v>30896.853000000003</v>
      </c>
      <c r="S31">
        <f t="shared" ca="1" si="5"/>
        <v>4.6822091446764969E-5</v>
      </c>
    </row>
    <row r="32" spans="1:32" x14ac:dyDescent="0.2">
      <c r="A32" t="s">
        <v>102</v>
      </c>
      <c r="B32" s="5" t="s">
        <v>44</v>
      </c>
      <c r="C32" s="25">
        <v>45915.357000000004</v>
      </c>
      <c r="D32" s="25" t="s">
        <v>61</v>
      </c>
      <c r="E32">
        <f t="shared" si="0"/>
        <v>9788.8794354345264</v>
      </c>
      <c r="F32">
        <f t="shared" si="1"/>
        <v>9789</v>
      </c>
      <c r="G32">
        <f t="shared" si="2"/>
        <v>-0.20689000000129454</v>
      </c>
      <c r="I32">
        <f t="shared" si="6"/>
        <v>-0.20689000000129454</v>
      </c>
      <c r="O32">
        <f t="shared" ca="1" si="3"/>
        <v>-0.20404733301863254</v>
      </c>
      <c r="Q32" s="2">
        <f t="shared" si="4"/>
        <v>30896.857000000004</v>
      </c>
      <c r="S32">
        <f t="shared" ca="1" si="5"/>
        <v>8.0807555743166859E-6</v>
      </c>
    </row>
    <row r="33" spans="1:21" x14ac:dyDescent="0.2">
      <c r="A33" t="s">
        <v>107</v>
      </c>
      <c r="B33" s="5" t="s">
        <v>44</v>
      </c>
      <c r="C33" s="25">
        <v>45915.357000000004</v>
      </c>
      <c r="D33" s="25" t="s">
        <v>61</v>
      </c>
      <c r="E33">
        <f t="shared" si="0"/>
        <v>9788.8794354345264</v>
      </c>
      <c r="F33">
        <f t="shared" si="1"/>
        <v>9789</v>
      </c>
      <c r="G33">
        <f t="shared" si="2"/>
        <v>-0.20689000000129454</v>
      </c>
      <c r="I33">
        <f t="shared" si="6"/>
        <v>-0.20689000000129454</v>
      </c>
      <c r="O33">
        <f t="shared" ca="1" si="3"/>
        <v>-0.20404733301863254</v>
      </c>
      <c r="Q33" s="2">
        <f t="shared" si="4"/>
        <v>30896.857000000004</v>
      </c>
      <c r="S33">
        <f t="shared" ca="1" si="5"/>
        <v>8.0807555743166859E-6</v>
      </c>
    </row>
    <row r="34" spans="1:21" x14ac:dyDescent="0.2">
      <c r="A34" t="s">
        <v>102</v>
      </c>
      <c r="B34" s="5" t="s">
        <v>44</v>
      </c>
      <c r="C34" s="25">
        <v>45915.358999999997</v>
      </c>
      <c r="D34" s="25" t="s">
        <v>61</v>
      </c>
      <c r="E34">
        <f t="shared" si="0"/>
        <v>9788.8806009288965</v>
      </c>
      <c r="F34">
        <f t="shared" si="1"/>
        <v>9789</v>
      </c>
      <c r="G34">
        <f t="shared" si="2"/>
        <v>-0.20489000000816304</v>
      </c>
      <c r="I34">
        <f t="shared" si="6"/>
        <v>-0.20489000000816304</v>
      </c>
      <c r="O34">
        <f t="shared" ca="1" si="3"/>
        <v>-0.20404733301863254</v>
      </c>
      <c r="Q34" s="2">
        <f t="shared" si="4"/>
        <v>30896.858999999997</v>
      </c>
      <c r="S34">
        <f t="shared" ca="1" si="5"/>
        <v>7.1008765524440425E-7</v>
      </c>
    </row>
    <row r="35" spans="1:21" x14ac:dyDescent="0.2">
      <c r="A35" t="s">
        <v>102</v>
      </c>
      <c r="B35" s="5" t="s">
        <v>44</v>
      </c>
      <c r="C35" s="25">
        <v>45915.364000000001</v>
      </c>
      <c r="D35" s="25" t="s">
        <v>61</v>
      </c>
      <c r="E35">
        <f t="shared" si="0"/>
        <v>9788.8835146648325</v>
      </c>
      <c r="F35">
        <f t="shared" si="1"/>
        <v>9789</v>
      </c>
      <c r="G35">
        <f t="shared" si="2"/>
        <v>-0.19989000000350643</v>
      </c>
      <c r="I35">
        <f t="shared" si="6"/>
        <v>-0.19989000000350643</v>
      </c>
      <c r="O35">
        <f t="shared" ca="1" si="3"/>
        <v>-0.20404733301863254</v>
      </c>
      <c r="Q35" s="2">
        <f t="shared" si="4"/>
        <v>30896.864000000001</v>
      </c>
      <c r="S35">
        <f t="shared" ca="1" si="5"/>
        <v>1.7283417798657535E-5</v>
      </c>
    </row>
    <row r="36" spans="1:21" x14ac:dyDescent="0.2">
      <c r="A36" t="s">
        <v>102</v>
      </c>
      <c r="B36" s="5" t="s">
        <v>44</v>
      </c>
      <c r="C36" s="25">
        <v>45915.364000000001</v>
      </c>
      <c r="D36" s="25" t="s">
        <v>61</v>
      </c>
      <c r="E36">
        <f t="shared" si="0"/>
        <v>9788.8835146648325</v>
      </c>
      <c r="F36">
        <f t="shared" si="1"/>
        <v>9789</v>
      </c>
      <c r="G36">
        <f t="shared" si="2"/>
        <v>-0.19989000000350643</v>
      </c>
      <c r="I36">
        <f t="shared" si="6"/>
        <v>-0.19989000000350643</v>
      </c>
      <c r="O36">
        <f t="shared" ca="1" si="3"/>
        <v>-0.20404733301863254</v>
      </c>
      <c r="Q36" s="2">
        <f t="shared" si="4"/>
        <v>30896.864000000001</v>
      </c>
      <c r="S36">
        <f t="shared" ca="1" si="5"/>
        <v>1.7283417798657535E-5</v>
      </c>
    </row>
    <row r="37" spans="1:21" x14ac:dyDescent="0.2">
      <c r="A37" t="s">
        <v>122</v>
      </c>
      <c r="B37" s="5" t="s">
        <v>44</v>
      </c>
      <c r="C37" s="25">
        <v>48506.493000000002</v>
      </c>
      <c r="D37" s="25" t="s">
        <v>61</v>
      </c>
      <c r="E37">
        <f t="shared" si="0"/>
        <v>11298.856650019523</v>
      </c>
      <c r="F37">
        <f t="shared" si="1"/>
        <v>11299</v>
      </c>
      <c r="G37">
        <f t="shared" si="2"/>
        <v>-0.24598999999579974</v>
      </c>
      <c r="I37">
        <f t="shared" si="6"/>
        <v>-0.24598999999579974</v>
      </c>
      <c r="O37">
        <f t="shared" ca="1" si="3"/>
        <v>-0.24509379838569118</v>
      </c>
      <c r="Q37" s="2">
        <f t="shared" si="4"/>
        <v>33487.993000000002</v>
      </c>
      <c r="S37">
        <f t="shared" ca="1" si="5"/>
        <v>8.0317732596117562E-7</v>
      </c>
    </row>
    <row r="38" spans="1:21" x14ac:dyDescent="0.2">
      <c r="A38" t="s">
        <v>122</v>
      </c>
      <c r="B38" s="5" t="s">
        <v>44</v>
      </c>
      <c r="C38" s="25">
        <v>48506.498</v>
      </c>
      <c r="D38" s="25" t="s">
        <v>61</v>
      </c>
      <c r="E38">
        <f t="shared" si="0"/>
        <v>11298.859563755455</v>
      </c>
      <c r="F38">
        <f t="shared" si="1"/>
        <v>11299</v>
      </c>
      <c r="G38">
        <f t="shared" si="2"/>
        <v>-0.24098999999841908</v>
      </c>
      <c r="I38">
        <f t="shared" si="6"/>
        <v>-0.24098999999841908</v>
      </c>
      <c r="O38">
        <f t="shared" ca="1" si="3"/>
        <v>-0.24509379838569118</v>
      </c>
      <c r="Q38" s="2">
        <f t="shared" si="4"/>
        <v>33487.998</v>
      </c>
      <c r="S38">
        <f t="shared" ca="1" si="5"/>
        <v>1.684116120337705E-5</v>
      </c>
    </row>
    <row r="39" spans="1:21" x14ac:dyDescent="0.2">
      <c r="A39" t="s">
        <v>130</v>
      </c>
      <c r="B39" s="5" t="s">
        <v>44</v>
      </c>
      <c r="C39" s="25">
        <v>50047.44</v>
      </c>
      <c r="D39" s="25" t="s">
        <v>61</v>
      </c>
      <c r="E39">
        <f t="shared" si="0"/>
        <v>12196.839179258863</v>
      </c>
      <c r="F39">
        <f t="shared" si="1"/>
        <v>12197</v>
      </c>
      <c r="G39">
        <f t="shared" si="2"/>
        <v>-0.27597000000241678</v>
      </c>
      <c r="I39">
        <f t="shared" si="6"/>
        <v>-0.27597000000241678</v>
      </c>
      <c r="O39">
        <f t="shared" ca="1" si="3"/>
        <v>-0.26950421288874987</v>
      </c>
      <c r="Q39" s="2">
        <f t="shared" si="4"/>
        <v>35028.94</v>
      </c>
      <c r="S39">
        <f t="shared" ca="1" si="5"/>
        <v>4.180640299926107E-5</v>
      </c>
    </row>
    <row r="40" spans="1:21" x14ac:dyDescent="0.2">
      <c r="A40" t="s">
        <v>32</v>
      </c>
      <c r="C40" s="26">
        <v>50344.322</v>
      </c>
      <c r="D40" s="25">
        <v>2E-3</v>
      </c>
      <c r="E40">
        <f t="shared" si="0"/>
        <v>12369.846329566843</v>
      </c>
      <c r="F40">
        <f t="shared" si="1"/>
        <v>12370</v>
      </c>
      <c r="G40">
        <f t="shared" si="2"/>
        <v>-0.26370000000315486</v>
      </c>
      <c r="J40">
        <f>G40</f>
        <v>-0.26370000000315486</v>
      </c>
      <c r="O40">
        <f t="shared" ca="1" si="3"/>
        <v>-0.27420688739769106</v>
      </c>
      <c r="Q40" s="2">
        <f t="shared" si="4"/>
        <v>35325.822</v>
      </c>
      <c r="S40">
        <f t="shared" ca="1" si="5"/>
        <v>1.1039468272146374E-4</v>
      </c>
    </row>
    <row r="41" spans="1:21" x14ac:dyDescent="0.2">
      <c r="A41" t="s">
        <v>41</v>
      </c>
      <c r="C41" s="28">
        <v>53599.593000000001</v>
      </c>
      <c r="D41" s="25">
        <v>5.0000000000000001E-3</v>
      </c>
      <c r="E41">
        <f t="shared" si="0"/>
        <v>14266.846347049259</v>
      </c>
      <c r="F41">
        <f t="shared" si="1"/>
        <v>14267</v>
      </c>
      <c r="O41">
        <f t="shared" ca="1" si="3"/>
        <v>-0.32577320845816143</v>
      </c>
      <c r="Q41" s="2">
        <f t="shared" si="4"/>
        <v>38581.093000000001</v>
      </c>
      <c r="R41">
        <f>+C41-(C$7+F41*C$8)</f>
        <v>-0.26367000000027474</v>
      </c>
      <c r="U41" s="27" t="s">
        <v>42</v>
      </c>
    </row>
    <row r="42" spans="1:21" x14ac:dyDescent="0.2">
      <c r="A42" s="51" t="s">
        <v>147</v>
      </c>
      <c r="B42" s="31" t="s">
        <v>44</v>
      </c>
      <c r="C42" s="32">
        <v>54390.605600000003</v>
      </c>
      <c r="D42" s="32" t="s">
        <v>61</v>
      </c>
      <c r="E42" s="51">
        <f t="shared" si="0"/>
        <v>14727.806714413087</v>
      </c>
      <c r="F42" s="51">
        <f t="shared" si="1"/>
        <v>14728</v>
      </c>
      <c r="G42">
        <f>+C42-(C$7+F42*C$8)</f>
        <v>-0.33167999999568565</v>
      </c>
      <c r="K42">
        <f>G42</f>
        <v>-0.33167999999568565</v>
      </c>
      <c r="O42">
        <f t="shared" ca="1" si="3"/>
        <v>-0.33830461278545548</v>
      </c>
      <c r="Q42" s="2">
        <f t="shared" si="4"/>
        <v>39372.105600000003</v>
      </c>
      <c r="S42">
        <f ca="1">+(O42-G42)^2</f>
        <v>4.3885494614382076E-5</v>
      </c>
    </row>
    <row r="43" spans="1:21" x14ac:dyDescent="0.2">
      <c r="A43" s="30" t="s">
        <v>45</v>
      </c>
      <c r="B43" s="31" t="s">
        <v>44</v>
      </c>
      <c r="C43" s="32">
        <v>56180.366900000001</v>
      </c>
      <c r="D43" s="32">
        <v>4.0000000000000002E-4</v>
      </c>
      <c r="E43" s="51">
        <f t="shared" si="0"/>
        <v>15770.785077010039</v>
      </c>
      <c r="F43" s="51">
        <f t="shared" si="1"/>
        <v>15771</v>
      </c>
      <c r="G43">
        <f>+C43-(C$7+F43*C$8)</f>
        <v>-0.36880999999993946</v>
      </c>
      <c r="J43">
        <f>G43</f>
        <v>-0.36880999999993946</v>
      </c>
      <c r="O43">
        <f t="shared" ca="1" si="3"/>
        <v>-0.36665657528733769</v>
      </c>
      <c r="Q43" s="2">
        <f t="shared" si="4"/>
        <v>41161.866900000001</v>
      </c>
      <c r="S43">
        <f ca="1">+(O43-G43)^2</f>
        <v>4.6372379928440167E-6</v>
      </c>
    </row>
    <row r="44" spans="1:21" x14ac:dyDescent="0.2">
      <c r="A44" s="30" t="s">
        <v>43</v>
      </c>
      <c r="B44" s="31" t="s">
        <v>44</v>
      </c>
      <c r="C44" s="32">
        <v>56226.698900000003</v>
      </c>
      <c r="D44" s="32">
        <v>3.0000000000000003E-4</v>
      </c>
      <c r="E44" s="51">
        <f t="shared" si="0"/>
        <v>15797.784919668302</v>
      </c>
      <c r="F44" s="51">
        <f t="shared" si="1"/>
        <v>15798</v>
      </c>
      <c r="G44">
        <f>+C44-(C$7+F44*C$8)</f>
        <v>-0.36908000000403263</v>
      </c>
      <c r="J44">
        <f>G44</f>
        <v>-0.36908000000403263</v>
      </c>
      <c r="O44">
        <f t="shared" ca="1" si="3"/>
        <v>-0.36739051870780831</v>
      </c>
      <c r="Q44" s="2">
        <f t="shared" si="4"/>
        <v>41208.198900000003</v>
      </c>
      <c r="S44">
        <f ca="1">+(O44-G44)^2</f>
        <v>2.8543470502917932E-6</v>
      </c>
    </row>
    <row r="45" spans="1:21" x14ac:dyDescent="0.2">
      <c r="A45" s="52" t="s">
        <v>1</v>
      </c>
      <c r="B45" s="53" t="s">
        <v>44</v>
      </c>
      <c r="C45" s="54">
        <v>57261.434200000003</v>
      </c>
      <c r="D45" s="54" t="s">
        <v>0</v>
      </c>
      <c r="E45" s="51">
        <f>+(C45-C$7)/C$8</f>
        <v>16400.774004813491</v>
      </c>
      <c r="F45" s="51">
        <f t="shared" si="1"/>
        <v>16401</v>
      </c>
      <c r="G45">
        <f>+C45-(C$7+F45*C$8)</f>
        <v>-0.38781000000017229</v>
      </c>
      <c r="K45">
        <f>G45</f>
        <v>-0.38781000000017229</v>
      </c>
      <c r="O45">
        <f ca="1">+C$11+C$12*F45</f>
        <v>-0.38378192176498471</v>
      </c>
      <c r="Q45" s="2">
        <f>+C45-15018.5</f>
        <v>42242.934200000003</v>
      </c>
      <c r="S45">
        <f ca="1">+(O45-G45)^2</f>
        <v>1.6225414268791907E-5</v>
      </c>
    </row>
    <row r="46" spans="1:21" x14ac:dyDescent="0.2">
      <c r="A46" s="51"/>
      <c r="B46" s="51"/>
      <c r="C46" s="32"/>
      <c r="D46" s="32"/>
      <c r="E46" s="51"/>
      <c r="F46" s="51"/>
    </row>
    <row r="47" spans="1:21" x14ac:dyDescent="0.2">
      <c r="A47" s="51"/>
      <c r="B47" s="51"/>
      <c r="C47" s="51"/>
      <c r="D47" s="51"/>
      <c r="E47" s="51"/>
      <c r="F47" s="51"/>
    </row>
  </sheetData>
  <phoneticPr fontId="8" type="noConversion"/>
  <hyperlinks>
    <hyperlink ref="H3651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0"/>
  <sheetViews>
    <sheetView workbookViewId="0">
      <selection activeCell="C49" sqref="C49"/>
    </sheetView>
  </sheetViews>
  <sheetFormatPr defaultRowHeight="12.75" x14ac:dyDescent="0.2"/>
  <cols>
    <col min="1" max="1" width="19.7109375" style="25" customWidth="1"/>
    <col min="2" max="2" width="4.42578125" style="14" customWidth="1"/>
    <col min="3" max="3" width="12.7109375" style="25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25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38" t="s">
        <v>51</v>
      </c>
      <c r="I1" s="39" t="s">
        <v>52</v>
      </c>
      <c r="J1" s="40" t="s">
        <v>53</v>
      </c>
    </row>
    <row r="2" spans="1:16" x14ac:dyDescent="0.2">
      <c r="I2" s="41" t="s">
        <v>54</v>
      </c>
      <c r="J2" s="42" t="s">
        <v>55</v>
      </c>
    </row>
    <row r="3" spans="1:16" x14ac:dyDescent="0.2">
      <c r="A3" s="43" t="s">
        <v>56</v>
      </c>
      <c r="I3" s="41" t="s">
        <v>57</v>
      </c>
      <c r="J3" s="42" t="s">
        <v>58</v>
      </c>
    </row>
    <row r="4" spans="1:16" x14ac:dyDescent="0.2">
      <c r="I4" s="41" t="s">
        <v>59</v>
      </c>
      <c r="J4" s="42" t="s">
        <v>58</v>
      </c>
    </row>
    <row r="5" spans="1:16" ht="13.5" thickBot="1" x14ac:dyDescent="0.25">
      <c r="I5" s="44" t="s">
        <v>60</v>
      </c>
      <c r="J5" s="45" t="s">
        <v>61</v>
      </c>
    </row>
    <row r="10" spans="1:16" ht="13.5" thickBot="1" x14ac:dyDescent="0.25"/>
    <row r="11" spans="1:16" ht="12.75" customHeight="1" thickBot="1" x14ac:dyDescent="0.25">
      <c r="A11" s="25" t="str">
        <f t="shared" ref="A11:A33" si="0">P11</f>
        <v> BBS 19 </v>
      </c>
      <c r="B11" s="5" t="str">
        <f t="shared" ref="B11:B33" si="1">IF(H11=INT(H11),"I","II")</f>
        <v>I</v>
      </c>
      <c r="C11" s="25">
        <f t="shared" ref="C11:C33" si="2">1*G11</f>
        <v>42404.447</v>
      </c>
      <c r="D11" s="14" t="str">
        <f t="shared" ref="D11:D33" si="3">VLOOKUP(F11,I$1:J$5,2,FALSE)</f>
        <v>vis</v>
      </c>
      <c r="E11" s="46">
        <f>VLOOKUP(C11,Active!C$21:E$973,3,FALSE)</f>
        <v>7742.9065098688225</v>
      </c>
      <c r="F11" s="5" t="s">
        <v>60</v>
      </c>
      <c r="G11" s="14" t="str">
        <f t="shared" ref="G11:G33" si="4">MID(I11,3,LEN(I11)-3)</f>
        <v>42404.447</v>
      </c>
      <c r="H11" s="25">
        <f t="shared" ref="H11:H33" si="5">1*K11</f>
        <v>-4627</v>
      </c>
      <c r="I11" s="47" t="s">
        <v>87</v>
      </c>
      <c r="J11" s="48" t="s">
        <v>88</v>
      </c>
      <c r="K11" s="47">
        <v>-4627</v>
      </c>
      <c r="L11" s="47" t="s">
        <v>89</v>
      </c>
      <c r="M11" s="48" t="s">
        <v>90</v>
      </c>
      <c r="N11" s="48"/>
      <c r="O11" s="49" t="s">
        <v>91</v>
      </c>
      <c r="P11" s="49" t="s">
        <v>92</v>
      </c>
    </row>
    <row r="12" spans="1:16" ht="12.75" customHeight="1" thickBot="1" x14ac:dyDescent="0.25">
      <c r="A12" s="25" t="str">
        <f t="shared" si="0"/>
        <v> BBS 113 </v>
      </c>
      <c r="B12" s="5" t="str">
        <f t="shared" si="1"/>
        <v>I</v>
      </c>
      <c r="C12" s="25">
        <f t="shared" si="2"/>
        <v>50344.322</v>
      </c>
      <c r="D12" s="14" t="str">
        <f t="shared" si="3"/>
        <v>vis</v>
      </c>
      <c r="E12" s="46">
        <f>VLOOKUP(C12,Active!C$21:E$973,3,FALSE)</f>
        <v>12369.846329566843</v>
      </c>
      <c r="F12" s="5" t="s">
        <v>60</v>
      </c>
      <c r="G12" s="14" t="str">
        <f t="shared" si="4"/>
        <v>50344.322</v>
      </c>
      <c r="H12" s="25">
        <f t="shared" si="5"/>
        <v>0</v>
      </c>
      <c r="I12" s="47" t="s">
        <v>131</v>
      </c>
      <c r="J12" s="48" t="s">
        <v>132</v>
      </c>
      <c r="K12" s="47">
        <v>0</v>
      </c>
      <c r="L12" s="47" t="s">
        <v>133</v>
      </c>
      <c r="M12" s="48" t="s">
        <v>134</v>
      </c>
      <c r="N12" s="48" t="s">
        <v>135</v>
      </c>
      <c r="O12" s="49" t="s">
        <v>136</v>
      </c>
      <c r="P12" s="49" t="s">
        <v>137</v>
      </c>
    </row>
    <row r="13" spans="1:16" ht="12.75" customHeight="1" thickBot="1" x14ac:dyDescent="0.25">
      <c r="A13" s="25" t="str">
        <f t="shared" si="0"/>
        <v>OEJV 0003 </v>
      </c>
      <c r="B13" s="5" t="str">
        <f t="shared" si="1"/>
        <v>I</v>
      </c>
      <c r="C13" s="25">
        <f t="shared" si="2"/>
        <v>53599.593000000001</v>
      </c>
      <c r="D13" s="14" t="str">
        <f t="shared" si="3"/>
        <v>vis</v>
      </c>
      <c r="E13" s="46">
        <f>VLOOKUP(C13,Active!C$21:E$973,3,FALSE)</f>
        <v>14266.846347049259</v>
      </c>
      <c r="F13" s="5" t="s">
        <v>60</v>
      </c>
      <c r="G13" s="14" t="str">
        <f t="shared" si="4"/>
        <v>53599.593</v>
      </c>
      <c r="H13" s="25">
        <f t="shared" si="5"/>
        <v>1897</v>
      </c>
      <c r="I13" s="47" t="s">
        <v>138</v>
      </c>
      <c r="J13" s="48" t="s">
        <v>139</v>
      </c>
      <c r="K13" s="47">
        <v>1897</v>
      </c>
      <c r="L13" s="47" t="s">
        <v>133</v>
      </c>
      <c r="M13" s="48" t="s">
        <v>90</v>
      </c>
      <c r="N13" s="48"/>
      <c r="O13" s="49" t="s">
        <v>91</v>
      </c>
      <c r="P13" s="50" t="s">
        <v>140</v>
      </c>
    </row>
    <row r="14" spans="1:16" ht="12.75" customHeight="1" thickBot="1" x14ac:dyDescent="0.25">
      <c r="A14" s="25" t="str">
        <f t="shared" si="0"/>
        <v>BAVM 231 </v>
      </c>
      <c r="B14" s="5" t="str">
        <f t="shared" si="1"/>
        <v>I</v>
      </c>
      <c r="C14" s="25">
        <f t="shared" si="2"/>
        <v>56180.366900000001</v>
      </c>
      <c r="D14" s="14" t="str">
        <f t="shared" si="3"/>
        <v>vis</v>
      </c>
      <c r="E14" s="46">
        <f>VLOOKUP(C14,Active!C$21:E$973,3,FALSE)</f>
        <v>15770.785077010039</v>
      </c>
      <c r="F14" s="5" t="s">
        <v>60</v>
      </c>
      <c r="G14" s="14" t="str">
        <f t="shared" si="4"/>
        <v>56180.3669</v>
      </c>
      <c r="H14" s="25">
        <f t="shared" si="5"/>
        <v>3401</v>
      </c>
      <c r="I14" s="47" t="s">
        <v>148</v>
      </c>
      <c r="J14" s="48" t="s">
        <v>149</v>
      </c>
      <c r="K14" s="47" t="s">
        <v>150</v>
      </c>
      <c r="L14" s="47" t="s">
        <v>151</v>
      </c>
      <c r="M14" s="48" t="s">
        <v>144</v>
      </c>
      <c r="N14" s="48" t="s">
        <v>145</v>
      </c>
      <c r="O14" s="49" t="s">
        <v>146</v>
      </c>
      <c r="P14" s="50" t="s">
        <v>152</v>
      </c>
    </row>
    <row r="15" spans="1:16" ht="12.75" customHeight="1" thickBot="1" x14ac:dyDescent="0.25">
      <c r="A15" s="25" t="str">
        <f t="shared" si="0"/>
        <v>IBVS 6042 </v>
      </c>
      <c r="B15" s="5" t="str">
        <f t="shared" si="1"/>
        <v>I</v>
      </c>
      <c r="C15" s="25">
        <f t="shared" si="2"/>
        <v>56226.698900000003</v>
      </c>
      <c r="D15" s="14" t="str">
        <f t="shared" si="3"/>
        <v>vis</v>
      </c>
      <c r="E15" s="46">
        <f>VLOOKUP(C15,Active!C$21:E$973,3,FALSE)</f>
        <v>15797.784919668302</v>
      </c>
      <c r="F15" s="5" t="s">
        <v>60</v>
      </c>
      <c r="G15" s="14" t="str">
        <f t="shared" si="4"/>
        <v>56226.6989</v>
      </c>
      <c r="H15" s="25">
        <f t="shared" si="5"/>
        <v>3428</v>
      </c>
      <c r="I15" s="47" t="s">
        <v>153</v>
      </c>
      <c r="J15" s="48" t="s">
        <v>154</v>
      </c>
      <c r="K15" s="47" t="s">
        <v>155</v>
      </c>
      <c r="L15" s="47" t="s">
        <v>156</v>
      </c>
      <c r="M15" s="48" t="s">
        <v>144</v>
      </c>
      <c r="N15" s="48" t="s">
        <v>60</v>
      </c>
      <c r="O15" s="49" t="s">
        <v>136</v>
      </c>
      <c r="P15" s="50" t="s">
        <v>157</v>
      </c>
    </row>
    <row r="16" spans="1:16" ht="12.75" customHeight="1" thickBot="1" x14ac:dyDescent="0.25">
      <c r="A16" s="25" t="str">
        <f t="shared" si="0"/>
        <v> VSS 4.143 </v>
      </c>
      <c r="B16" s="5" t="str">
        <f t="shared" si="1"/>
        <v>I</v>
      </c>
      <c r="C16" s="25">
        <f t="shared" si="2"/>
        <v>29117.545999999998</v>
      </c>
      <c r="D16" s="14" t="str">
        <f t="shared" si="3"/>
        <v>vis</v>
      </c>
      <c r="E16" s="46">
        <f>VLOOKUP(C16,Active!C$21:E$973,3,FALSE)</f>
        <v>2.3309887455066859E-3</v>
      </c>
      <c r="F16" s="5" t="s">
        <v>60</v>
      </c>
      <c r="G16" s="14" t="str">
        <f t="shared" si="4"/>
        <v>29117.546</v>
      </c>
      <c r="H16" s="25">
        <f t="shared" si="5"/>
        <v>-12370</v>
      </c>
      <c r="I16" s="47" t="s">
        <v>63</v>
      </c>
      <c r="J16" s="48" t="s">
        <v>64</v>
      </c>
      <c r="K16" s="47">
        <v>-12370</v>
      </c>
      <c r="L16" s="47" t="s">
        <v>65</v>
      </c>
      <c r="M16" s="48" t="s">
        <v>66</v>
      </c>
      <c r="N16" s="48"/>
      <c r="O16" s="49" t="s">
        <v>67</v>
      </c>
      <c r="P16" s="49" t="s">
        <v>68</v>
      </c>
    </row>
    <row r="17" spans="1:16" ht="12.75" customHeight="1" thickBot="1" x14ac:dyDescent="0.25">
      <c r="A17" s="25" t="str">
        <f t="shared" si="0"/>
        <v> VSS 4.143 </v>
      </c>
      <c r="B17" s="5" t="str">
        <f t="shared" si="1"/>
        <v>I</v>
      </c>
      <c r="C17" s="25">
        <f t="shared" si="2"/>
        <v>29251.35</v>
      </c>
      <c r="D17" s="14" t="str">
        <f t="shared" si="3"/>
        <v>vis</v>
      </c>
      <c r="E17" s="46">
        <f>VLOOKUP(C17,Active!C$21:E$973,3,FALSE)</f>
        <v>77.976235569721197</v>
      </c>
      <c r="F17" s="5" t="s">
        <v>60</v>
      </c>
      <c r="G17" s="14" t="str">
        <f t="shared" si="4"/>
        <v>29251.350</v>
      </c>
      <c r="H17" s="25">
        <f t="shared" si="5"/>
        <v>-12292</v>
      </c>
      <c r="I17" s="47" t="s">
        <v>69</v>
      </c>
      <c r="J17" s="48" t="s">
        <v>70</v>
      </c>
      <c r="K17" s="47">
        <v>-12292</v>
      </c>
      <c r="L17" s="47" t="s">
        <v>71</v>
      </c>
      <c r="M17" s="48" t="s">
        <v>66</v>
      </c>
      <c r="N17" s="48"/>
      <c r="O17" s="49" t="s">
        <v>67</v>
      </c>
      <c r="P17" s="49" t="s">
        <v>68</v>
      </c>
    </row>
    <row r="18" spans="1:16" ht="12.75" customHeight="1" thickBot="1" x14ac:dyDescent="0.25">
      <c r="A18" s="25" t="str">
        <f t="shared" si="0"/>
        <v> VSS 4.143 </v>
      </c>
      <c r="B18" s="5" t="str">
        <f t="shared" si="1"/>
        <v>I</v>
      </c>
      <c r="C18" s="25">
        <f t="shared" si="2"/>
        <v>29824.507000000001</v>
      </c>
      <c r="D18" s="14" t="str">
        <f t="shared" si="3"/>
        <v>vis</v>
      </c>
      <c r="E18" s="46">
        <f>VLOOKUP(C18,Active!C$21:E$973,3,FALSE)</f>
        <v>411.98186490754722</v>
      </c>
      <c r="F18" s="5" t="s">
        <v>60</v>
      </c>
      <c r="G18" s="14" t="str">
        <f t="shared" si="4"/>
        <v>29824.507</v>
      </c>
      <c r="H18" s="25">
        <f t="shared" si="5"/>
        <v>-11958</v>
      </c>
      <c r="I18" s="47" t="s">
        <v>72</v>
      </c>
      <c r="J18" s="48" t="s">
        <v>73</v>
      </c>
      <c r="K18" s="47">
        <v>-11958</v>
      </c>
      <c r="L18" s="47" t="s">
        <v>74</v>
      </c>
      <c r="M18" s="48" t="s">
        <v>66</v>
      </c>
      <c r="N18" s="48"/>
      <c r="O18" s="49" t="s">
        <v>67</v>
      </c>
      <c r="P18" s="49" t="s">
        <v>68</v>
      </c>
    </row>
    <row r="19" spans="1:16" ht="12.75" customHeight="1" thickBot="1" x14ac:dyDescent="0.25">
      <c r="A19" s="25" t="str">
        <f t="shared" si="0"/>
        <v> VSS 4.143 </v>
      </c>
      <c r="B19" s="5" t="str">
        <f t="shared" si="1"/>
        <v>I</v>
      </c>
      <c r="C19" s="25">
        <f t="shared" si="2"/>
        <v>30780.324000000001</v>
      </c>
      <c r="D19" s="14" t="str">
        <f t="shared" si="3"/>
        <v>vis</v>
      </c>
      <c r="E19" s="46">
        <f>VLOOKUP(C19,Active!C$21:E$973,3,FALSE)</f>
        <v>968.9815327416502</v>
      </c>
      <c r="F19" s="5" t="s">
        <v>60</v>
      </c>
      <c r="G19" s="14" t="str">
        <f t="shared" si="4"/>
        <v>30780.324</v>
      </c>
      <c r="H19" s="25">
        <f t="shared" si="5"/>
        <v>-11401</v>
      </c>
      <c r="I19" s="47" t="s">
        <v>75</v>
      </c>
      <c r="J19" s="48" t="s">
        <v>76</v>
      </c>
      <c r="K19" s="47">
        <v>-11401</v>
      </c>
      <c r="L19" s="47" t="s">
        <v>77</v>
      </c>
      <c r="M19" s="48" t="s">
        <v>66</v>
      </c>
      <c r="N19" s="48"/>
      <c r="O19" s="49" t="s">
        <v>67</v>
      </c>
      <c r="P19" s="49" t="s">
        <v>68</v>
      </c>
    </row>
    <row r="20" spans="1:16" ht="12.75" customHeight="1" thickBot="1" x14ac:dyDescent="0.25">
      <c r="A20" s="25" t="str">
        <f t="shared" si="0"/>
        <v> VSS 4.143 </v>
      </c>
      <c r="B20" s="5" t="str">
        <f t="shared" si="1"/>
        <v>I</v>
      </c>
      <c r="C20" s="25">
        <f t="shared" si="2"/>
        <v>30900.455000000002</v>
      </c>
      <c r="D20" s="14" t="str">
        <f t="shared" si="3"/>
        <v>vis</v>
      </c>
      <c r="E20" s="46">
        <f>VLOOKUP(C20,Active!C$21:E$973,3,FALSE)</f>
        <v>1038.9875350376749</v>
      </c>
      <c r="F20" s="5" t="s">
        <v>60</v>
      </c>
      <c r="G20" s="14" t="str">
        <f t="shared" si="4"/>
        <v>30900.455</v>
      </c>
      <c r="H20" s="25">
        <f t="shared" si="5"/>
        <v>-11331</v>
      </c>
      <c r="I20" s="47" t="s">
        <v>78</v>
      </c>
      <c r="J20" s="48" t="s">
        <v>79</v>
      </c>
      <c r="K20" s="47">
        <v>-11331</v>
      </c>
      <c r="L20" s="47" t="s">
        <v>80</v>
      </c>
      <c r="M20" s="48" t="s">
        <v>66</v>
      </c>
      <c r="N20" s="48"/>
      <c r="O20" s="49" t="s">
        <v>67</v>
      </c>
      <c r="P20" s="49" t="s">
        <v>68</v>
      </c>
    </row>
    <row r="21" spans="1:16" ht="12.75" customHeight="1" thickBot="1" x14ac:dyDescent="0.25">
      <c r="A21" s="25" t="str">
        <f t="shared" si="0"/>
        <v> VSS 4.143 </v>
      </c>
      <c r="B21" s="5" t="str">
        <f t="shared" si="1"/>
        <v>I</v>
      </c>
      <c r="C21" s="25">
        <f t="shared" si="2"/>
        <v>31238.506000000001</v>
      </c>
      <c r="D21" s="14" t="str">
        <f t="shared" si="3"/>
        <v>vis</v>
      </c>
      <c r="E21" s="46">
        <f>VLOOKUP(C21,Active!C$21:E$973,3,FALSE)</f>
        <v>1235.9858042785297</v>
      </c>
      <c r="F21" s="5" t="s">
        <v>60</v>
      </c>
      <c r="G21" s="14" t="str">
        <f t="shared" si="4"/>
        <v>31238.506</v>
      </c>
      <c r="H21" s="25">
        <f t="shared" si="5"/>
        <v>-11134</v>
      </c>
      <c r="I21" s="47" t="s">
        <v>81</v>
      </c>
      <c r="J21" s="48" t="s">
        <v>82</v>
      </c>
      <c r="K21" s="47">
        <v>-11134</v>
      </c>
      <c r="L21" s="47" t="s">
        <v>83</v>
      </c>
      <c r="M21" s="48" t="s">
        <v>66</v>
      </c>
      <c r="N21" s="48"/>
      <c r="O21" s="49" t="s">
        <v>67</v>
      </c>
      <c r="P21" s="49" t="s">
        <v>68</v>
      </c>
    </row>
    <row r="22" spans="1:16" ht="12.75" customHeight="1" thickBot="1" x14ac:dyDescent="0.25">
      <c r="A22" s="25" t="str">
        <f t="shared" si="0"/>
        <v> VSS 4.143 </v>
      </c>
      <c r="B22" s="5" t="str">
        <f t="shared" si="1"/>
        <v>I</v>
      </c>
      <c r="C22" s="25">
        <f t="shared" si="2"/>
        <v>33922.283000000003</v>
      </c>
      <c r="D22" s="14" t="str">
        <f t="shared" si="3"/>
        <v>vis</v>
      </c>
      <c r="E22" s="46">
        <f>VLOOKUP(C22,Active!C$21:E$973,3,FALSE)</f>
        <v>2799.9493009947505</v>
      </c>
      <c r="F22" s="5" t="s">
        <v>60</v>
      </c>
      <c r="G22" s="14" t="str">
        <f t="shared" si="4"/>
        <v>33922.283</v>
      </c>
      <c r="H22" s="25">
        <f t="shared" si="5"/>
        <v>-9570</v>
      </c>
      <c r="I22" s="47" t="s">
        <v>84</v>
      </c>
      <c r="J22" s="48" t="s">
        <v>85</v>
      </c>
      <c r="K22" s="47">
        <v>-9570</v>
      </c>
      <c r="L22" s="47" t="s">
        <v>86</v>
      </c>
      <c r="M22" s="48" t="s">
        <v>62</v>
      </c>
      <c r="N22" s="48"/>
      <c r="O22" s="49" t="s">
        <v>67</v>
      </c>
      <c r="P22" s="49" t="s">
        <v>68</v>
      </c>
    </row>
    <row r="23" spans="1:16" ht="12.75" customHeight="1" thickBot="1" x14ac:dyDescent="0.25">
      <c r="A23" s="25" t="str">
        <f t="shared" si="0"/>
        <v> BRNO 26 </v>
      </c>
      <c r="B23" s="5" t="str">
        <f t="shared" si="1"/>
        <v>I</v>
      </c>
      <c r="C23" s="25">
        <f t="shared" si="2"/>
        <v>44906.360999999997</v>
      </c>
      <c r="D23" s="14" t="str">
        <f t="shared" si="3"/>
        <v>vis</v>
      </c>
      <c r="E23" s="46">
        <f>VLOOKUP(C23,Active!C$21:E$973,3,FALSE)</f>
        <v>9200.8898549542228</v>
      </c>
      <c r="F23" s="5" t="s">
        <v>60</v>
      </c>
      <c r="G23" s="14" t="str">
        <f t="shared" si="4"/>
        <v>44906.361</v>
      </c>
      <c r="H23" s="25">
        <f t="shared" si="5"/>
        <v>-3169</v>
      </c>
      <c r="I23" s="47" t="s">
        <v>93</v>
      </c>
      <c r="J23" s="48" t="s">
        <v>94</v>
      </c>
      <c r="K23" s="47">
        <v>-3169</v>
      </c>
      <c r="L23" s="47" t="s">
        <v>95</v>
      </c>
      <c r="M23" s="48" t="s">
        <v>90</v>
      </c>
      <c r="N23" s="48"/>
      <c r="O23" s="49" t="s">
        <v>96</v>
      </c>
      <c r="P23" s="49" t="s">
        <v>97</v>
      </c>
    </row>
    <row r="24" spans="1:16" ht="12.75" customHeight="1" thickBot="1" x14ac:dyDescent="0.25">
      <c r="A24" s="25" t="str">
        <f t="shared" si="0"/>
        <v> BRNO 27 </v>
      </c>
      <c r="B24" s="5" t="str">
        <f t="shared" si="1"/>
        <v>I</v>
      </c>
      <c r="C24" s="25">
        <f t="shared" si="2"/>
        <v>45915.353000000003</v>
      </c>
      <c r="D24" s="14" t="str">
        <f t="shared" si="3"/>
        <v>vis</v>
      </c>
      <c r="E24" s="46">
        <f>VLOOKUP(C24,Active!C$21:E$973,3,FALSE)</f>
        <v>9788.877104445779</v>
      </c>
      <c r="F24" s="5" t="s">
        <v>60</v>
      </c>
      <c r="G24" s="14" t="str">
        <f t="shared" si="4"/>
        <v>45915.353</v>
      </c>
      <c r="H24" s="25">
        <f t="shared" si="5"/>
        <v>-2581</v>
      </c>
      <c r="I24" s="47" t="s">
        <v>98</v>
      </c>
      <c r="J24" s="48" t="s">
        <v>99</v>
      </c>
      <c r="K24" s="47">
        <v>-2581</v>
      </c>
      <c r="L24" s="47" t="s">
        <v>100</v>
      </c>
      <c r="M24" s="48" t="s">
        <v>90</v>
      </c>
      <c r="N24" s="48"/>
      <c r="O24" s="49" t="s">
        <v>101</v>
      </c>
      <c r="P24" s="49" t="s">
        <v>102</v>
      </c>
    </row>
    <row r="25" spans="1:16" ht="12.75" customHeight="1" thickBot="1" x14ac:dyDescent="0.25">
      <c r="A25" s="25" t="str">
        <f t="shared" si="0"/>
        <v> BRNO 28 </v>
      </c>
      <c r="B25" s="5" t="str">
        <f t="shared" si="1"/>
        <v>I</v>
      </c>
      <c r="C25" s="25">
        <f t="shared" si="2"/>
        <v>45915.357000000004</v>
      </c>
      <c r="D25" s="14" t="str">
        <f t="shared" si="3"/>
        <v>vis</v>
      </c>
      <c r="E25" s="46">
        <f>VLOOKUP(C25,Active!C$21:E$973,3,FALSE)</f>
        <v>9788.8794354345264</v>
      </c>
      <c r="F25" s="5" t="s">
        <v>60</v>
      </c>
      <c r="G25" s="14" t="str">
        <f t="shared" si="4"/>
        <v>45915.357</v>
      </c>
      <c r="H25" s="25">
        <f t="shared" si="5"/>
        <v>-2581</v>
      </c>
      <c r="I25" s="47" t="s">
        <v>103</v>
      </c>
      <c r="J25" s="48" t="s">
        <v>104</v>
      </c>
      <c r="K25" s="47">
        <v>-2581</v>
      </c>
      <c r="L25" s="47" t="s">
        <v>105</v>
      </c>
      <c r="M25" s="48" t="s">
        <v>90</v>
      </c>
      <c r="N25" s="48"/>
      <c r="O25" s="49" t="s">
        <v>106</v>
      </c>
      <c r="P25" s="49" t="s">
        <v>107</v>
      </c>
    </row>
    <row r="26" spans="1:16" ht="12.75" customHeight="1" thickBot="1" x14ac:dyDescent="0.25">
      <c r="A26" s="25" t="str">
        <f t="shared" si="0"/>
        <v> BRNO 27 </v>
      </c>
      <c r="B26" s="5" t="str">
        <f t="shared" si="1"/>
        <v>I</v>
      </c>
      <c r="C26" s="25">
        <f t="shared" si="2"/>
        <v>45915.357000000004</v>
      </c>
      <c r="D26" s="14" t="str">
        <f t="shared" si="3"/>
        <v>vis</v>
      </c>
      <c r="E26" s="46">
        <f>VLOOKUP(C26,Active!C$21:E$973,3,FALSE)</f>
        <v>9788.8794354345264</v>
      </c>
      <c r="F26" s="5" t="s">
        <v>60</v>
      </c>
      <c r="G26" s="14" t="str">
        <f t="shared" si="4"/>
        <v>45915.357</v>
      </c>
      <c r="H26" s="25">
        <f t="shared" si="5"/>
        <v>-2581</v>
      </c>
      <c r="I26" s="47" t="s">
        <v>103</v>
      </c>
      <c r="J26" s="48" t="s">
        <v>104</v>
      </c>
      <c r="K26" s="47">
        <v>-2581</v>
      </c>
      <c r="L26" s="47" t="s">
        <v>105</v>
      </c>
      <c r="M26" s="48" t="s">
        <v>90</v>
      </c>
      <c r="N26" s="48"/>
      <c r="O26" s="49" t="s">
        <v>108</v>
      </c>
      <c r="P26" s="49" t="s">
        <v>102</v>
      </c>
    </row>
    <row r="27" spans="1:16" ht="12.75" customHeight="1" thickBot="1" x14ac:dyDescent="0.25">
      <c r="A27" s="25" t="str">
        <f t="shared" si="0"/>
        <v> BRNO 27 </v>
      </c>
      <c r="B27" s="5" t="str">
        <f t="shared" si="1"/>
        <v>I</v>
      </c>
      <c r="C27" s="25">
        <f t="shared" si="2"/>
        <v>45915.358999999997</v>
      </c>
      <c r="D27" s="14" t="str">
        <f t="shared" si="3"/>
        <v>vis</v>
      </c>
      <c r="E27" s="46">
        <f>VLOOKUP(C27,Active!C$21:E$973,3,FALSE)</f>
        <v>9788.8806009288965</v>
      </c>
      <c r="F27" s="5" t="s">
        <v>60</v>
      </c>
      <c r="G27" s="14" t="str">
        <f t="shared" si="4"/>
        <v>45915.359</v>
      </c>
      <c r="H27" s="25">
        <f t="shared" si="5"/>
        <v>-2581</v>
      </c>
      <c r="I27" s="47" t="s">
        <v>109</v>
      </c>
      <c r="J27" s="48" t="s">
        <v>110</v>
      </c>
      <c r="K27" s="47">
        <v>-2581</v>
      </c>
      <c r="L27" s="47" t="s">
        <v>111</v>
      </c>
      <c r="M27" s="48" t="s">
        <v>90</v>
      </c>
      <c r="N27" s="48"/>
      <c r="O27" s="49" t="s">
        <v>112</v>
      </c>
      <c r="P27" s="49" t="s">
        <v>102</v>
      </c>
    </row>
    <row r="28" spans="1:16" ht="12.75" customHeight="1" thickBot="1" x14ac:dyDescent="0.25">
      <c r="A28" s="25" t="str">
        <f t="shared" si="0"/>
        <v> BRNO 27 </v>
      </c>
      <c r="B28" s="5" t="str">
        <f t="shared" si="1"/>
        <v>I</v>
      </c>
      <c r="C28" s="25">
        <f t="shared" si="2"/>
        <v>45915.364000000001</v>
      </c>
      <c r="D28" s="14" t="str">
        <f t="shared" si="3"/>
        <v>vis</v>
      </c>
      <c r="E28" s="46">
        <f>VLOOKUP(C28,Active!C$21:E$973,3,FALSE)</f>
        <v>9788.8835146648325</v>
      </c>
      <c r="F28" s="5" t="s">
        <v>60</v>
      </c>
      <c r="G28" s="14" t="str">
        <f t="shared" si="4"/>
        <v>45915.364</v>
      </c>
      <c r="H28" s="25">
        <f t="shared" si="5"/>
        <v>-2581</v>
      </c>
      <c r="I28" s="47" t="s">
        <v>113</v>
      </c>
      <c r="J28" s="48" t="s">
        <v>114</v>
      </c>
      <c r="K28" s="47">
        <v>-2581</v>
      </c>
      <c r="L28" s="47" t="s">
        <v>115</v>
      </c>
      <c r="M28" s="48" t="s">
        <v>90</v>
      </c>
      <c r="N28" s="48"/>
      <c r="O28" s="49" t="s">
        <v>116</v>
      </c>
      <c r="P28" s="49" t="s">
        <v>102</v>
      </c>
    </row>
    <row r="29" spans="1:16" ht="12.75" customHeight="1" thickBot="1" x14ac:dyDescent="0.25">
      <c r="A29" s="25" t="str">
        <f t="shared" si="0"/>
        <v> BRNO 27 </v>
      </c>
      <c r="B29" s="5" t="str">
        <f t="shared" si="1"/>
        <v>I</v>
      </c>
      <c r="C29" s="25">
        <f t="shared" si="2"/>
        <v>45915.364000000001</v>
      </c>
      <c r="D29" s="14" t="str">
        <f t="shared" si="3"/>
        <v>vis</v>
      </c>
      <c r="E29" s="46">
        <f>VLOOKUP(C29,Active!C$21:E$973,3,FALSE)</f>
        <v>9788.8835146648325</v>
      </c>
      <c r="F29" s="5" t="s">
        <v>60</v>
      </c>
      <c r="G29" s="14" t="str">
        <f t="shared" si="4"/>
        <v>45915.364</v>
      </c>
      <c r="H29" s="25">
        <f t="shared" si="5"/>
        <v>-2581</v>
      </c>
      <c r="I29" s="47" t="s">
        <v>113</v>
      </c>
      <c r="J29" s="48" t="s">
        <v>114</v>
      </c>
      <c r="K29" s="47">
        <v>-2581</v>
      </c>
      <c r="L29" s="47" t="s">
        <v>115</v>
      </c>
      <c r="M29" s="48" t="s">
        <v>90</v>
      </c>
      <c r="N29" s="48"/>
      <c r="O29" s="49" t="s">
        <v>117</v>
      </c>
      <c r="P29" s="49" t="s">
        <v>102</v>
      </c>
    </row>
    <row r="30" spans="1:16" ht="12.75" customHeight="1" thickBot="1" x14ac:dyDescent="0.25">
      <c r="A30" s="25" t="str">
        <f t="shared" si="0"/>
        <v> BRNO 31 </v>
      </c>
      <c r="B30" s="5" t="str">
        <f t="shared" si="1"/>
        <v>I</v>
      </c>
      <c r="C30" s="25">
        <f t="shared" si="2"/>
        <v>48506.493000000002</v>
      </c>
      <c r="D30" s="14" t="str">
        <f t="shared" si="3"/>
        <v>vis</v>
      </c>
      <c r="E30" s="46">
        <f>VLOOKUP(C30,Active!C$21:E$973,3,FALSE)</f>
        <v>11298.856650019523</v>
      </c>
      <c r="F30" s="5" t="s">
        <v>60</v>
      </c>
      <c r="G30" s="14" t="str">
        <f t="shared" si="4"/>
        <v>48506.493</v>
      </c>
      <c r="H30" s="25">
        <f t="shared" si="5"/>
        <v>-1071</v>
      </c>
      <c r="I30" s="47" t="s">
        <v>118</v>
      </c>
      <c r="J30" s="48" t="s">
        <v>119</v>
      </c>
      <c r="K30" s="47">
        <v>-1071</v>
      </c>
      <c r="L30" s="47" t="s">
        <v>120</v>
      </c>
      <c r="M30" s="48" t="s">
        <v>90</v>
      </c>
      <c r="N30" s="48"/>
      <c r="O30" s="49" t="s">
        <v>121</v>
      </c>
      <c r="P30" s="49" t="s">
        <v>122</v>
      </c>
    </row>
    <row r="31" spans="1:16" ht="12.75" customHeight="1" thickBot="1" x14ac:dyDescent="0.25">
      <c r="A31" s="25" t="str">
        <f t="shared" si="0"/>
        <v> BRNO 31 </v>
      </c>
      <c r="B31" s="5" t="str">
        <f t="shared" si="1"/>
        <v>I</v>
      </c>
      <c r="C31" s="25">
        <f t="shared" si="2"/>
        <v>48506.498</v>
      </c>
      <c r="D31" s="14" t="str">
        <f t="shared" si="3"/>
        <v>vis</v>
      </c>
      <c r="E31" s="46">
        <f>VLOOKUP(C31,Active!C$21:E$973,3,FALSE)</f>
        <v>11298.859563755455</v>
      </c>
      <c r="F31" s="5" t="s">
        <v>60</v>
      </c>
      <c r="G31" s="14" t="str">
        <f t="shared" si="4"/>
        <v>48506.498</v>
      </c>
      <c r="H31" s="25">
        <f t="shared" si="5"/>
        <v>-1071</v>
      </c>
      <c r="I31" s="47" t="s">
        <v>123</v>
      </c>
      <c r="J31" s="48" t="s">
        <v>124</v>
      </c>
      <c r="K31" s="47">
        <v>-1071</v>
      </c>
      <c r="L31" s="47" t="s">
        <v>125</v>
      </c>
      <c r="M31" s="48" t="s">
        <v>90</v>
      </c>
      <c r="N31" s="48"/>
      <c r="O31" s="49" t="s">
        <v>106</v>
      </c>
      <c r="P31" s="49" t="s">
        <v>122</v>
      </c>
    </row>
    <row r="32" spans="1:16" ht="12.75" customHeight="1" thickBot="1" x14ac:dyDescent="0.25">
      <c r="A32" s="25" t="str">
        <f t="shared" si="0"/>
        <v> BRNO 32 </v>
      </c>
      <c r="B32" s="5" t="str">
        <f t="shared" si="1"/>
        <v>I</v>
      </c>
      <c r="C32" s="25">
        <f t="shared" si="2"/>
        <v>50047.44</v>
      </c>
      <c r="D32" s="14" t="str">
        <f t="shared" si="3"/>
        <v>vis</v>
      </c>
      <c r="E32" s="46">
        <f>VLOOKUP(C32,Active!C$21:E$973,3,FALSE)</f>
        <v>12196.839179258863</v>
      </c>
      <c r="F32" s="5" t="s">
        <v>60</v>
      </c>
      <c r="G32" s="14" t="str">
        <f t="shared" si="4"/>
        <v>50047.4400</v>
      </c>
      <c r="H32" s="25">
        <f t="shared" si="5"/>
        <v>-173</v>
      </c>
      <c r="I32" s="47" t="s">
        <v>126</v>
      </c>
      <c r="J32" s="48" t="s">
        <v>127</v>
      </c>
      <c r="K32" s="47">
        <v>-173</v>
      </c>
      <c r="L32" s="47" t="s">
        <v>128</v>
      </c>
      <c r="M32" s="48" t="s">
        <v>90</v>
      </c>
      <c r="N32" s="48"/>
      <c r="O32" s="49" t="s">
        <v>129</v>
      </c>
      <c r="P32" s="49" t="s">
        <v>130</v>
      </c>
    </row>
    <row r="33" spans="1:16" ht="12.75" customHeight="1" thickBot="1" x14ac:dyDescent="0.25">
      <c r="A33" s="25" t="str">
        <f t="shared" si="0"/>
        <v>BAVM 193 </v>
      </c>
      <c r="B33" s="5" t="str">
        <f t="shared" si="1"/>
        <v>I</v>
      </c>
      <c r="C33" s="25">
        <f t="shared" si="2"/>
        <v>54390.605600000003</v>
      </c>
      <c r="D33" s="14" t="str">
        <f t="shared" si="3"/>
        <v>vis</v>
      </c>
      <c r="E33" s="46">
        <f>VLOOKUP(C33,Active!C$21:E$973,3,FALSE)</f>
        <v>14727.806714413087</v>
      </c>
      <c r="F33" s="5" t="s">
        <v>60</v>
      </c>
      <c r="G33" s="14" t="str">
        <f t="shared" si="4"/>
        <v>54390.6056</v>
      </c>
      <c r="H33" s="25">
        <f t="shared" si="5"/>
        <v>2358</v>
      </c>
      <c r="I33" s="47" t="s">
        <v>141</v>
      </c>
      <c r="J33" s="48" t="s">
        <v>142</v>
      </c>
      <c r="K33" s="47">
        <v>2358</v>
      </c>
      <c r="L33" s="47" t="s">
        <v>143</v>
      </c>
      <c r="M33" s="48" t="s">
        <v>144</v>
      </c>
      <c r="N33" s="48" t="s">
        <v>145</v>
      </c>
      <c r="O33" s="49" t="s">
        <v>146</v>
      </c>
      <c r="P33" s="50" t="s">
        <v>147</v>
      </c>
    </row>
    <row r="34" spans="1:16" x14ac:dyDescent="0.2">
      <c r="B34" s="5"/>
      <c r="F34" s="5"/>
    </row>
    <row r="35" spans="1:16" x14ac:dyDescent="0.2">
      <c r="B35" s="5"/>
      <c r="F35" s="5"/>
    </row>
    <row r="36" spans="1:16" x14ac:dyDescent="0.2">
      <c r="B36" s="5"/>
      <c r="F36" s="5"/>
    </row>
    <row r="37" spans="1:16" x14ac:dyDescent="0.2">
      <c r="B37" s="5"/>
      <c r="F37" s="5"/>
    </row>
    <row r="38" spans="1:16" x14ac:dyDescent="0.2">
      <c r="B38" s="5"/>
      <c r="F38" s="5"/>
    </row>
    <row r="39" spans="1:16" x14ac:dyDescent="0.2">
      <c r="B39" s="5"/>
      <c r="F39" s="5"/>
    </row>
    <row r="40" spans="1:16" x14ac:dyDescent="0.2">
      <c r="B40" s="5"/>
      <c r="F40" s="5"/>
    </row>
    <row r="41" spans="1:16" x14ac:dyDescent="0.2">
      <c r="B41" s="5"/>
      <c r="F41" s="5"/>
    </row>
    <row r="42" spans="1:16" x14ac:dyDescent="0.2">
      <c r="B42" s="5"/>
      <c r="F42" s="5"/>
    </row>
    <row r="43" spans="1:16" x14ac:dyDescent="0.2">
      <c r="B43" s="5"/>
      <c r="F43" s="5"/>
    </row>
    <row r="44" spans="1:16" x14ac:dyDescent="0.2">
      <c r="B44" s="5"/>
      <c r="F44" s="5"/>
    </row>
    <row r="45" spans="1:16" x14ac:dyDescent="0.2">
      <c r="B45" s="5"/>
      <c r="F45" s="5"/>
    </row>
    <row r="46" spans="1:16" x14ac:dyDescent="0.2">
      <c r="B46" s="5"/>
      <c r="F46" s="5"/>
    </row>
    <row r="47" spans="1:16" x14ac:dyDescent="0.2">
      <c r="B47" s="5"/>
      <c r="F47" s="5"/>
    </row>
    <row r="48" spans="1:1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</sheetData>
  <phoneticPr fontId="8" type="noConversion"/>
  <hyperlinks>
    <hyperlink ref="A3" r:id="rId1"/>
    <hyperlink ref="P13" r:id="rId2" display="http://var.astro.cz/oejv/issues/oejv0003.pdf"/>
    <hyperlink ref="P33" r:id="rId3" display="http://www.bav-astro.de/sfs/BAVM_link.php?BAVMnr=193"/>
    <hyperlink ref="P14" r:id="rId4" display="http://www.bav-astro.de/sfs/BAVM_link.php?BAVMnr=231"/>
    <hyperlink ref="P15" r:id="rId5" display="http://www.konkoly.hu/cgi-bin/IBVS?6042"/>
  </hyperlinks>
  <pageMargins left="0.75" right="0.75" top="1" bottom="1" header="0.5" footer="0.5"/>
  <pageSetup orientation="portrait" horizontalDpi="300" verticalDpi="300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2023-05-30T08:27:10Z</dcterms:modified>
</cp:coreProperties>
</file>