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6C53EFD-4A13-4179-8D54-90CEAF5536D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4" i="1" l="1"/>
  <c r="F34" i="1"/>
  <c r="G34" i="1"/>
  <c r="K34" i="1"/>
  <c r="E35" i="1"/>
  <c r="F35" i="1"/>
  <c r="G35" i="1"/>
  <c r="K35" i="1"/>
  <c r="C9" i="1"/>
  <c r="D9" i="1"/>
  <c r="Q34" i="1"/>
  <c r="Q35" i="1"/>
  <c r="E33" i="1"/>
  <c r="F33" i="1"/>
  <c r="G33" i="1"/>
  <c r="K33" i="1"/>
  <c r="Q33" i="1"/>
  <c r="E21" i="1"/>
  <c r="F21" i="1"/>
  <c r="R21" i="1"/>
  <c r="E22" i="1"/>
  <c r="F22" i="1"/>
  <c r="R22" i="1"/>
  <c r="E23" i="1"/>
  <c r="F23" i="1"/>
  <c r="R23" i="1"/>
  <c r="E24" i="1"/>
  <c r="F24" i="1"/>
  <c r="R24" i="1"/>
  <c r="E25" i="1"/>
  <c r="F25" i="1"/>
  <c r="R25" i="1"/>
  <c r="E26" i="1"/>
  <c r="F26" i="1"/>
  <c r="R26" i="1"/>
  <c r="E27" i="1"/>
  <c r="F27" i="1"/>
  <c r="R27" i="1"/>
  <c r="E31" i="1"/>
  <c r="F31" i="1"/>
  <c r="G31" i="1"/>
  <c r="K31" i="1"/>
  <c r="E28" i="1"/>
  <c r="F28" i="1"/>
  <c r="G28" i="1"/>
  <c r="I28" i="1"/>
  <c r="E29" i="1"/>
  <c r="F29" i="1"/>
  <c r="G29" i="1"/>
  <c r="I29" i="1"/>
  <c r="E30" i="1"/>
  <c r="F30" i="1"/>
  <c r="G30" i="1"/>
  <c r="I30" i="1"/>
  <c r="E32" i="1"/>
  <c r="F32" i="1"/>
  <c r="G32" i="1"/>
  <c r="K32" i="1"/>
  <c r="Q21" i="1"/>
  <c r="Q22" i="1"/>
  <c r="Q23" i="1"/>
  <c r="Q24" i="1"/>
  <c r="Q25" i="1"/>
  <c r="Q26" i="1"/>
  <c r="Q27" i="1"/>
  <c r="Q31" i="1"/>
  <c r="Q28" i="1"/>
  <c r="G16" i="2"/>
  <c r="C16" i="2"/>
  <c r="E16" i="2"/>
  <c r="G17" i="2"/>
  <c r="C17" i="2"/>
  <c r="E17" i="2"/>
  <c r="G18" i="2"/>
  <c r="C18" i="2"/>
  <c r="E18" i="2"/>
  <c r="G19" i="2"/>
  <c r="C19" i="2"/>
  <c r="E19" i="2"/>
  <c r="G20" i="2"/>
  <c r="C20" i="2"/>
  <c r="E20" i="2"/>
  <c r="G21" i="2"/>
  <c r="C21" i="2"/>
  <c r="E21" i="2"/>
  <c r="G11" i="2"/>
  <c r="C11" i="2"/>
  <c r="E11" i="2"/>
  <c r="G12" i="2"/>
  <c r="C12" i="2"/>
  <c r="E12" i="2"/>
  <c r="G13" i="2"/>
  <c r="C13" i="2"/>
  <c r="E13" i="2"/>
  <c r="G22" i="2"/>
  <c r="C22" i="2"/>
  <c r="E22" i="2"/>
  <c r="G14" i="2"/>
  <c r="C14" i="2"/>
  <c r="E14" i="2"/>
  <c r="G15" i="2"/>
  <c r="C15" i="2"/>
  <c r="E15" i="2"/>
  <c r="H14" i="2"/>
  <c r="D14" i="2"/>
  <c r="B14" i="2"/>
  <c r="A14" i="2"/>
  <c r="H22" i="2"/>
  <c r="D22" i="2"/>
  <c r="B22" i="2"/>
  <c r="A22" i="2"/>
  <c r="H13" i="2"/>
  <c r="D13" i="2"/>
  <c r="B13" i="2"/>
  <c r="A13" i="2"/>
  <c r="H12" i="2"/>
  <c r="D12" i="2"/>
  <c r="B12" i="2"/>
  <c r="A12" i="2"/>
  <c r="H11" i="2"/>
  <c r="D11" i="2"/>
  <c r="B11" i="2"/>
  <c r="A11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Q32" i="1"/>
  <c r="Q30" i="1"/>
  <c r="F16" i="1"/>
  <c r="F17" i="1" s="1"/>
  <c r="C17" i="1"/>
  <c r="Q29" i="1"/>
  <c r="C12" i="1"/>
  <c r="C11" i="1"/>
  <c r="O35" i="1" l="1"/>
  <c r="O28" i="1"/>
  <c r="C15" i="1"/>
  <c r="O31" i="1"/>
  <c r="O33" i="1"/>
  <c r="O25" i="1"/>
  <c r="O23" i="1"/>
  <c r="O30" i="1"/>
  <c r="O21" i="1"/>
  <c r="O22" i="1"/>
  <c r="O29" i="1"/>
  <c r="O24" i="1"/>
  <c r="O34" i="1"/>
  <c r="O26" i="1"/>
  <c r="O32" i="1"/>
  <c r="O27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<sst xmlns="http://schemas.openxmlformats.org/spreadsheetml/2006/main" count="187" uniqueCount="110">
  <si>
    <t>IBVS 6196</t>
  </si>
  <si>
    <t>0.0227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</si>
  <si>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</si>
  <si>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</si>
  <si>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</si>
  <si>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</si>
  <si>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</si>
  <si>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</si>
  <si>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</si>
  <si>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</si>
  <si>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</si>
  <si>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</si>
  <si>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</si>
  <si>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</si>
  <si>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</si>
  <si>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</si>
  <si>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</si>
  <si>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</si>
  <si>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</si>
  <si>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</si>
  <si>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</si>
  <si>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</si>
  <si>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</si>
  <si>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</si>
  <si>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</si>
  <si>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</si>
  <si>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</si>
  <si>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</si>
  <si>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</si>
  <si>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not avail.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</si>
  <si>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</si>
  <si>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</si>
  <si>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</si>
  <si>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</si>
  <si>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</si>
  <si>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</si>
  <si>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 xml:space="preserve">CZ And / GSC 03631-01623               </t>
  </si>
  <si>
    <t xml:space="preserve">1984ApJS...54..421G </t>
  </si>
  <si>
    <t>EA/SD:</t>
  </si>
  <si>
    <t>I</t>
  </si>
  <si>
    <t>Add cycle</t>
  </si>
  <si>
    <t>Old Cycle</t>
  </si>
  <si>
    <t>Start of linear fit &gt;&gt;&gt;&gt;&gt;&gt;&gt;&gt;&gt;&gt;&gt;&gt;&gt;&gt;&gt;&gt;&gt;&gt;&gt;&gt;&gt;</t>
  </si>
  <si>
    <t>OEJV 0130</t>
  </si>
  <si>
    <t>IBVS 6070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</si>
  <si>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</si>
  <si>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</si>
  <si>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</si>
  <si>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</si>
  <si>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</si>
  <si>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</si>
  <si>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</si>
  <si>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</si>
  <si>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</si>
  <si>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</si>
  <si>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</si>
  <si>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2431001.439 </t>
  </si>
  <si>
    <t> 03.10.1943 22:32 </t>
  </si>
  <si>
    <t> -0.043 </t>
  </si>
  <si>
    <t>P </t>
  </si>
  <si>
    <t> H.Huth </t>
  </si>
  <si>
    <t> VSS 4.166 </t>
  </si>
  <si>
    <t>2431702.558 </t>
  </si>
  <si>
    <t> 04.09.1945 01:23 </t>
  </si>
  <si>
    <t> 0.038 </t>
  </si>
  <si>
    <t>2432827.451 </t>
  </si>
  <si>
    <t> 02.10.1948 22:49 </t>
  </si>
  <si>
    <t> 0.011 </t>
  </si>
  <si>
    <t>2432906.266 </t>
  </si>
  <si>
    <t> 20.12.1948 18:23 </t>
  </si>
  <si>
    <t> 0.027 </t>
  </si>
  <si>
    <t>2433914.313 </t>
  </si>
  <si>
    <t> 24.09.1951 19:30 </t>
  </si>
  <si>
    <t> -0.007 </t>
  </si>
  <si>
    <t>2433922.496 </t>
  </si>
  <si>
    <t> 02.10.1951 23:54 </t>
  </si>
  <si>
    <t> 0.024 </t>
  </si>
  <si>
    <t>2433930.572 </t>
  </si>
  <si>
    <t> 11.10.1951 01:43 </t>
  </si>
  <si>
    <t> -0.052 </t>
  </si>
  <si>
    <t>2453931.501 </t>
  </si>
  <si>
    <t> 15.07.2006 00:01 </t>
  </si>
  <si>
    <t> -0.432 </t>
  </si>
  <si>
    <t>C </t>
  </si>
  <si>
    <t> A.Klotz </t>
  </si>
  <si>
    <t>OEJV 0073 </t>
  </si>
  <si>
    <t>2453931.503 </t>
  </si>
  <si>
    <t> 15.07.2006 00:04 </t>
  </si>
  <si>
    <t> -0.430 </t>
  </si>
  <si>
    <t>2454393.414 </t>
  </si>
  <si>
    <t> 19.10.2007 21:56 </t>
  </si>
  <si>
    <t> -0.443 </t>
  </si>
  <si>
    <t>o</t>
  </si>
  <si>
    <t> A.Paschke </t>
  </si>
  <si>
    <t>OEJV 0116 </t>
  </si>
  <si>
    <t>2455833.5371 </t>
  </si>
  <si>
    <t> 29.09.2011 00:53 </t>
  </si>
  <si>
    <t> -0.4357 </t>
  </si>
  <si>
    <t>-U;-I</t>
  </si>
  <si>
    <t> M. &amp; K.Rätz </t>
  </si>
  <si>
    <t>BAVM 225 </t>
  </si>
  <si>
    <t>2456219.3784 </t>
  </si>
  <si>
    <t> 18.10.2012 21:04 </t>
  </si>
  <si>
    <t>9281</t>
  </si>
  <si>
    <t> -0.4368 </t>
  </si>
  <si>
    <t> F.Agerer </t>
  </si>
  <si>
    <t>BAVM 231 </t>
  </si>
  <si>
    <t>OEJV 0116</t>
  </si>
  <si>
    <t>BAD?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</si>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</sst>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</font>
    <font>
      <sz val="10"/>
      <color indexed="20"/>
      <name val="Arial"/>
      <family val="2"/>
    </font>
    <font>
      <sz val="10"/>
      <color indexed="8"/>
      <name val="Arial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2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14" fillId="0" borderId="0" xfId="38" applyAlignment="1" applyProtection="1"/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5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176" fontId="16" fillId="0" borderId="0" xfId="0" applyNumberFormat="1" applyFont="1" applyFill="1" applyBorder="1" applyAlignment="1" applyProtection="1">
      <alignment horizontal="left"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4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4" fillId="24" borderId="17" xfId="38" applyFill="1" applyBorder="1" applyAlignment="1" applyProtection="1">
      <alignment horizontal="right" vertical="top" wrapText="1"/>
    </xf>
    <xf numFmtId="176" fontId="18" fillId="0" borderId="0" xfId="0" applyNumberFormat="1" applyFont="1" applyFill="1" applyBorder="1" applyAlignment="1" applyProtection="1">
      <alignment horizontal="left" vertical="top"/>
    </xf>
    <xf numFmtId="0" fontId="19" fillId="0" borderId="8" xfId="0" applyFont="1" applyFill="1" applyBorder="1" applyAlignment="1">
      <alignment horizontal="center"/>
    </xf>
    <xf numFmtId="0" fontId="16" fillId="0" borderId="0" xfId="42" applyFont="1" applyAlignment="1">
      <alignment wrapText="1"/>
    </xf>
    <xf numFmtId="0" fontId="16" fillId="0" borderId="0" xfId="42" applyFont="1" applyAlignment="1">
      <alignment horizontal="center" wrapText="1"/>
    </xf>
    <xf numFmtId="0" fontId="16" fillId="0" borderId="0" xfId="42" applyFont="1" applyAlignment="1">
      <alignment horizontal="left" wrapText="1"/>
    </xf>
    <xf numFmtId="0" fontId="35" fillId="0" borderId="0" xfId="42" applyFont="1"/>
    <xf numFmtId="0" fontId="35" fillId="0" borderId="0" xfId="42" applyFont="1" applyAlignment="1">
      <alignment horizontal="center"/>
    </xf>
    <xf numFmtId="0" fontId="35" fillId="0" borderId="0" xfId="42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CZ And - O-C Diagr.</a:t>
            </a:r>
          </a:p>
        </c:rich>
      </c:tx>
      <c:layout>
        <c:manualLayout>
          <c:xMode val="edge"/>
          <c:yMode val="edge"/>
          <c:x val="0.38379269105123326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8583011669492"/>
          <c:y val="0.14634168126798494"/>
          <c:w val="0.8211021435130917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81-4C0E-982A-7DE01F4E97A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7">
                  <c:v>0</c:v>
                </c:pt>
                <c:pt idx="8">
                  <c:v>-1.0999999998603016E-2</c:v>
                </c:pt>
                <c:pt idx="9">
                  <c:v>-9.7999999925377779E-3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81-4C0E-982A-7DE01F4E97A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81-4C0E-982A-7DE01F4E97A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10">
                  <c:v>-3.8999999960651621E-3</c:v>
                </c:pt>
                <c:pt idx="11">
                  <c:v>-4.9999999973806553E-3</c:v>
                </c:pt>
                <c:pt idx="12">
                  <c:v>1.2800000004062895E-2</c:v>
                </c:pt>
                <c:pt idx="13">
                  <c:v>-2.2900000069057569E-2</c:v>
                </c:pt>
                <c:pt idx="14">
                  <c:v>-2.2720000095432624E-2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81-4C0E-982A-7DE01F4E97A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81-4C0E-982A-7DE01F4E97A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81-4C0E-982A-7DE01F4E97A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81-4C0E-982A-7DE01F4E97A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5.8748016100188052E-2</c:v>
                </c:pt>
                <c:pt idx="1">
                  <c:v>5.6891861522922152E-2</c:v>
                </c:pt>
                <c:pt idx="2">
                  <c:v>5.3913380922193145E-2</c:v>
                </c:pt>
                <c:pt idx="3">
                  <c:v>5.3704743392190384E-2</c:v>
                </c:pt>
                <c:pt idx="4">
                  <c:v>5.1035621887672362E-2</c:v>
                </c:pt>
                <c:pt idx="5">
                  <c:v>5.1014038694913458E-2</c:v>
                </c:pt>
                <c:pt idx="6">
                  <c:v>5.0992455502154553E-2</c:v>
                </c:pt>
                <c:pt idx="7">
                  <c:v>-1.9655051306141091E-3</c:v>
                </c:pt>
                <c:pt idx="8">
                  <c:v>-3.1885527202854405E-3</c:v>
                </c:pt>
                <c:pt idx="9">
                  <c:v>-6.0591173572199187E-3</c:v>
                </c:pt>
                <c:pt idx="10">
                  <c:v>-7.0015834410254744E-3</c:v>
                </c:pt>
                <c:pt idx="11">
                  <c:v>-8.0231878982803505E-3</c:v>
                </c:pt>
                <c:pt idx="12">
                  <c:v>-1.078223937262715E-2</c:v>
                </c:pt>
                <c:pt idx="13">
                  <c:v>-1.2749907112480733E-2</c:v>
                </c:pt>
                <c:pt idx="14">
                  <c:v>-1.2749907112480733E-2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81-4C0E-982A-7DE01F4E97A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Active!$R$21:$R$997</c:f>
              <c:numCache>
                <c:formatCode>General</c:formatCode>
                <c:ptCount val="977"/>
                <c:pt idx="0">
                  <c:v>0.38880000000062864</c:v>
                </c:pt>
                <c:pt idx="1">
                  <c:v>0.47020000000338769</c:v>
                </c:pt>
                <c:pt idx="2">
                  <c:v>0.44239999999990687</c:v>
                </c:pt>
                <c:pt idx="3">
                  <c:v>0.45860000000539003</c:v>
                </c:pt>
                <c:pt idx="4">
                  <c:v>0.4244000000107917</c:v>
                </c:pt>
                <c:pt idx="5">
                  <c:v>0.4558000000033644</c:v>
                </c:pt>
                <c:pt idx="6">
                  <c:v>0.38019999999960419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481-4C0E-982A-7DE01F4E9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486712"/>
        <c:axId val="1"/>
      </c:scatterChart>
      <c:valAx>
        <c:axId val="77248671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9468644401104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58715596330278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2486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030613145833834"/>
          <c:y val="0.92073298764483702"/>
          <c:w val="0.73547512982895491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CZ And - O-C Diagr.</a:t>
            </a:r>
          </a:p>
        </c:rich>
      </c:tx>
      <c:layout>
        <c:manualLayout>
          <c:xMode val="edge"/>
          <c:yMode val="edge"/>
          <c:x val="0.3847331449980965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71765171580668"/>
          <c:y val="0.1458966565349544"/>
          <c:w val="0.8229013768050578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5B-46E3-AC0C-1A9FAE846DE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7">
                  <c:v>0</c:v>
                </c:pt>
                <c:pt idx="8">
                  <c:v>-1.0999999998603016E-2</c:v>
                </c:pt>
                <c:pt idx="9">
                  <c:v>-9.7999999925377779E-3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5B-46E3-AC0C-1A9FAE846DE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5B-46E3-AC0C-1A9FAE846DE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10">
                  <c:v>-3.8999999960651621E-3</c:v>
                </c:pt>
                <c:pt idx="11">
                  <c:v>-4.9999999973806553E-3</c:v>
                </c:pt>
                <c:pt idx="12">
                  <c:v>1.2800000004062895E-2</c:v>
                </c:pt>
                <c:pt idx="13">
                  <c:v>-2.2900000069057569E-2</c:v>
                </c:pt>
                <c:pt idx="14">
                  <c:v>-2.2720000095432624E-2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5B-46E3-AC0C-1A9FAE846DE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5B-46E3-AC0C-1A9FAE846DE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5B-46E3-AC0C-1A9FAE846DE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0.01</c:v>
                  </c:pt>
                  <c:pt idx="9">
                    <c:v>5.0000000000000001E-3</c:v>
                  </c:pt>
                  <c:pt idx="10">
                    <c:v>0</c:v>
                  </c:pt>
                  <c:pt idx="11">
                    <c:v>3.8E-3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5B-46E3-AC0C-1A9FAE846DE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5.8748016100188052E-2</c:v>
                </c:pt>
                <c:pt idx="1">
                  <c:v>5.6891861522922152E-2</c:v>
                </c:pt>
                <c:pt idx="2">
                  <c:v>5.3913380922193145E-2</c:v>
                </c:pt>
                <c:pt idx="3">
                  <c:v>5.3704743392190384E-2</c:v>
                </c:pt>
                <c:pt idx="4">
                  <c:v>5.1035621887672362E-2</c:v>
                </c:pt>
                <c:pt idx="5">
                  <c:v>5.1014038694913458E-2</c:v>
                </c:pt>
                <c:pt idx="6">
                  <c:v>5.0992455502154553E-2</c:v>
                </c:pt>
                <c:pt idx="7">
                  <c:v>-1.9655051306141091E-3</c:v>
                </c:pt>
                <c:pt idx="8">
                  <c:v>-3.1885527202854405E-3</c:v>
                </c:pt>
                <c:pt idx="9">
                  <c:v>-6.0591173572199187E-3</c:v>
                </c:pt>
                <c:pt idx="10">
                  <c:v>-7.0015834410254744E-3</c:v>
                </c:pt>
                <c:pt idx="11">
                  <c:v>-8.0231878982803505E-3</c:v>
                </c:pt>
                <c:pt idx="12">
                  <c:v>-1.078223937262715E-2</c:v>
                </c:pt>
                <c:pt idx="13">
                  <c:v>-1.2749907112480733E-2</c:v>
                </c:pt>
                <c:pt idx="14">
                  <c:v>-1.2749907112480733E-2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5B-46E3-AC0C-1A9FAE846DE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-8439</c:v>
                </c:pt>
                <c:pt idx="1">
                  <c:v>-8181</c:v>
                </c:pt>
                <c:pt idx="2">
                  <c:v>-7767</c:v>
                </c:pt>
                <c:pt idx="3">
                  <c:v>-7738</c:v>
                </c:pt>
                <c:pt idx="4">
                  <c:v>-7367</c:v>
                </c:pt>
                <c:pt idx="5">
                  <c:v>-7364</c:v>
                </c:pt>
                <c:pt idx="6">
                  <c:v>-7361</c:v>
                </c:pt>
                <c:pt idx="7">
                  <c:v>0</c:v>
                </c:pt>
                <c:pt idx="8">
                  <c:v>170</c:v>
                </c:pt>
                <c:pt idx="9">
                  <c:v>569</c:v>
                </c:pt>
                <c:pt idx="10">
                  <c:v>700</c:v>
                </c:pt>
                <c:pt idx="11">
                  <c:v>842</c:v>
                </c:pt>
                <c:pt idx="12">
                  <c:v>1225.5</c:v>
                </c:pt>
                <c:pt idx="13">
                  <c:v>1499</c:v>
                </c:pt>
                <c:pt idx="14">
                  <c:v>1499</c:v>
                </c:pt>
              </c:numCache>
            </c:numRef>
          </c:xVal>
          <c:yVal>
            <c:numRef>
              <c:f>Active!$R$21:$R$997</c:f>
              <c:numCache>
                <c:formatCode>General</c:formatCode>
                <c:ptCount val="977"/>
                <c:pt idx="0">
                  <c:v>0.38880000000062864</c:v>
                </c:pt>
                <c:pt idx="1">
                  <c:v>0.47020000000338769</c:v>
                </c:pt>
                <c:pt idx="2">
                  <c:v>0.44239999999990687</c:v>
                </c:pt>
                <c:pt idx="3">
                  <c:v>0.45860000000539003</c:v>
                </c:pt>
                <c:pt idx="4">
                  <c:v>0.4244000000107917</c:v>
                </c:pt>
                <c:pt idx="5">
                  <c:v>0.4558000000033644</c:v>
                </c:pt>
                <c:pt idx="6">
                  <c:v>0.38019999999960419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45B-46E3-AC0C-1A9FAE846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494992"/>
        <c:axId val="1"/>
      </c:scatterChart>
      <c:valAx>
        <c:axId val="772494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55757247901257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381679389312976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2494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36657249904829"/>
          <c:y val="0.92097264437689974"/>
          <c:w val="0.73435162589409153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16</xdr:col>
      <xdr:colOff>638175</xdr:colOff>
      <xdr:row>18</xdr:row>
      <xdr:rowOff>38100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1AA3A27E-0328-1DB1-AB0F-AAAD154DF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26</xdr:col>
      <xdr:colOff>66675</xdr:colOff>
      <xdr:row>18</xdr:row>
      <xdr:rowOff>47625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5B555F25-0637-ED8D-3C94-627FCA619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simbad.u-strasbg.fr/cgi-bin/cdsbib4?1984ApJS...54..421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073.pdf" TargetMode="External"/><Relationship Id="rId2" Type="http://schemas.openxmlformats.org/officeDocument/2006/relationships/hyperlink" Target="http://var.astro.cz/oejv/issues/oejv0073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31" TargetMode="External"/><Relationship Id="rId5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var.astro.cz/oejv/issues/oejv01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8"/>
  <sheetViews>
    <sheetView tabSelected="1" workbookViewId="0">
      <selection activeCell="E10" sqref="E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25</v>
      </c>
      <c r="B2" t="s">
        <v>38</v>
      </c>
      <c r="C2" s="3"/>
      <c r="D2" s="3"/>
    </row>
    <row r="3" spans="1:6" ht="13.5" thickBot="1" x14ac:dyDescent="0.25"/>
    <row r="4" spans="1:6" ht="14.25" thickTop="1" thickBot="1" x14ac:dyDescent="0.25">
      <c r="A4" s="5" t="s">
        <v>2</v>
      </c>
      <c r="C4" s="8" t="s">
        <v>29</v>
      </c>
      <c r="D4" s="9" t="s">
        <v>29</v>
      </c>
    </row>
    <row r="5" spans="1:6" ht="13.5" thickTop="1" x14ac:dyDescent="0.2">
      <c r="A5" s="11" t="s">
        <v>31</v>
      </c>
      <c r="B5" s="12"/>
      <c r="C5" s="13">
        <v>-9.5</v>
      </c>
      <c r="D5" s="12" t="s">
        <v>32</v>
      </c>
    </row>
    <row r="6" spans="1:6" x14ac:dyDescent="0.2">
      <c r="A6" s="5" t="s">
        <v>3</v>
      </c>
    </row>
    <row r="7" spans="1:6" x14ac:dyDescent="0.2">
      <c r="A7" t="s">
        <v>4</v>
      </c>
      <c r="C7" s="10">
        <v>53931.500999999997</v>
      </c>
      <c r="D7" s="10">
        <v>2.7172000000000001</v>
      </c>
    </row>
    <row r="8" spans="1:6" x14ac:dyDescent="0.2">
      <c r="A8" t="s">
        <v>5</v>
      </c>
      <c r="C8" s="10">
        <v>2.7172000000000001</v>
      </c>
      <c r="D8" s="23" t="s">
        <v>37</v>
      </c>
    </row>
    <row r="9" spans="1:6" x14ac:dyDescent="0.2">
      <c r="A9" s="27" t="s">
        <v>42</v>
      </c>
      <c r="B9" s="28">
        <v>23</v>
      </c>
      <c r="C9" s="25" t="str">
        <f>"F"&amp;B9</f>
        <v>F23</v>
      </c>
      <c r="D9" s="26" t="str">
        <f>"G"&amp;B9</f>
        <v>G23</v>
      </c>
    </row>
    <row r="10" spans="1:6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6" x14ac:dyDescent="0.2">
      <c r="A11" s="12" t="s">
        <v>17</v>
      </c>
      <c r="B11" s="12"/>
      <c r="C11" s="24">
        <f ca="1">INTERCEPT(INDIRECT($D$9):G990,INDIRECT($C$9):F990)</f>
        <v>-1.9655051306141091E-3</v>
      </c>
      <c r="D11" s="3"/>
      <c r="E11" s="12"/>
    </row>
    <row r="12" spans="1:6" x14ac:dyDescent="0.2">
      <c r="A12" s="12" t="s">
        <v>18</v>
      </c>
      <c r="B12" s="12"/>
      <c r="C12" s="24">
        <f ca="1">SLOPE(INDIRECT($D$9):G990,INDIRECT($C$9):F990)</f>
        <v>-7.1943975863019508E-6</v>
      </c>
      <c r="D12" s="3"/>
      <c r="E12" s="12"/>
    </row>
    <row r="13" spans="1:6" x14ac:dyDescent="0.2">
      <c r="A13" s="12" t="s">
        <v>20</v>
      </c>
      <c r="B13" s="12"/>
      <c r="C13" s="3" t="s">
        <v>15</v>
      </c>
    </row>
    <row r="14" spans="1:6" x14ac:dyDescent="0.2">
      <c r="A14" s="12"/>
      <c r="B14" s="12"/>
      <c r="C14" s="12"/>
    </row>
    <row r="15" spans="1:6" x14ac:dyDescent="0.2">
      <c r="A15" s="14" t="s">
        <v>19</v>
      </c>
      <c r="B15" s="12"/>
      <c r="C15" s="15">
        <f ca="1">(C7+C11)+(C8+C12)*INT(MAX(F21:F3531))</f>
        <v>58004.571050092884</v>
      </c>
      <c r="E15" s="16" t="s">
        <v>40</v>
      </c>
      <c r="F15" s="13">
        <v>1</v>
      </c>
    </row>
    <row r="16" spans="1:6" x14ac:dyDescent="0.2">
      <c r="A16" s="18" t="s">
        <v>6</v>
      </c>
      <c r="B16" s="12"/>
      <c r="C16" s="19">
        <f ca="1">+C8+C12</f>
        <v>2.7171928056024139</v>
      </c>
      <c r="E16" s="16" t="s">
        <v>33</v>
      </c>
      <c r="F16" s="17">
        <f ca="1">NOW()+15018.5+$C$5/24</f>
        <v>60094.852678009258</v>
      </c>
    </row>
    <row r="17" spans="1:18" ht="13.5" thickBot="1" x14ac:dyDescent="0.25">
      <c r="A17" s="16" t="s">
        <v>30</v>
      </c>
      <c r="B17" s="12"/>
      <c r="C17" s="12">
        <f>COUNT(C21:C2189)</f>
        <v>15</v>
      </c>
      <c r="E17" s="16" t="s">
        <v>41</v>
      </c>
      <c r="F17" s="17">
        <f ca="1">ROUND(2*(F16-$C$7)/$C$8,0)/2+F15</f>
        <v>2269.5</v>
      </c>
    </row>
    <row r="18" spans="1:18" ht="14.25" thickTop="1" thickBot="1" x14ac:dyDescent="0.25">
      <c r="A18" s="18" t="s">
        <v>7</v>
      </c>
      <c r="B18" s="12"/>
      <c r="C18" s="21">
        <f ca="1">+C15</f>
        <v>58004.571050092884</v>
      </c>
      <c r="D18" s="22">
        <f ca="1">+C16</f>
        <v>2.7171928056024139</v>
      </c>
      <c r="E18" s="16" t="s">
        <v>34</v>
      </c>
      <c r="F18" s="26">
        <f ca="1">ROUND(2*(F16-$C$15)/$C$16,0)/2+F15</f>
        <v>770.5</v>
      </c>
    </row>
    <row r="19" spans="1:18" ht="13.5" thickTop="1" x14ac:dyDescent="0.2">
      <c r="E19" s="16" t="s">
        <v>35</v>
      </c>
      <c r="F19" s="20">
        <f ca="1">+$C$15+$C$16*F18-15018.5-$C$5/24</f>
        <v>45080.063940142878</v>
      </c>
    </row>
    <row r="20" spans="1:18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52</v>
      </c>
      <c r="I20" s="7" t="s">
        <v>55</v>
      </c>
      <c r="J20" s="7" t="s">
        <v>49</v>
      </c>
      <c r="K20" s="7" t="s">
        <v>47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R20" s="48" t="s">
        <v>108</v>
      </c>
    </row>
    <row r="21" spans="1:18" x14ac:dyDescent="0.2">
      <c r="A21" t="s">
        <v>61</v>
      </c>
      <c r="B21" s="3" t="s">
        <v>39</v>
      </c>
      <c r="C21" s="10">
        <v>31001.438999999998</v>
      </c>
      <c r="D21" s="10" t="s">
        <v>55</v>
      </c>
      <c r="E21">
        <f t="shared" ref="E21:E32" si="0">+(C21-C$7)/C$8</f>
        <v>-8438.8569115265709</v>
      </c>
      <c r="F21">
        <f t="shared" ref="F21:F35" si="1">ROUND(2*E21,0)/2</f>
        <v>-8439</v>
      </c>
      <c r="O21">
        <f t="shared" ref="O21:O32" ca="1" si="2">+C$11+C$12*$F21</f>
        <v>5.8748016100188052E-2</v>
      </c>
      <c r="Q21" s="2">
        <f t="shared" ref="Q21:Q32" si="3">+C21-15018.5</f>
        <v>15982.938999999998</v>
      </c>
      <c r="R21">
        <f t="shared" ref="R21:R27" si="4">+C21-(C$7+F21*C$8)</f>
        <v>0.38880000000062864</v>
      </c>
    </row>
    <row r="22" spans="1:18" x14ac:dyDescent="0.2">
      <c r="A22" t="s">
        <v>61</v>
      </c>
      <c r="B22" s="3" t="s">
        <v>39</v>
      </c>
      <c r="C22" s="10">
        <v>31702.558000000001</v>
      </c>
      <c r="D22" s="10" t="s">
        <v>55</v>
      </c>
      <c r="E22">
        <f t="shared" si="0"/>
        <v>-8180.8269542175749</v>
      </c>
      <c r="F22">
        <f t="shared" si="1"/>
        <v>-8181</v>
      </c>
      <c r="O22">
        <f t="shared" ca="1" si="2"/>
        <v>5.6891861522922152E-2</v>
      </c>
      <c r="Q22" s="2">
        <f t="shared" si="3"/>
        <v>16684.058000000001</v>
      </c>
      <c r="R22">
        <f t="shared" si="4"/>
        <v>0.47020000000338769</v>
      </c>
    </row>
    <row r="23" spans="1:18" x14ac:dyDescent="0.2">
      <c r="A23" t="s">
        <v>61</v>
      </c>
      <c r="B23" s="3" t="s">
        <v>39</v>
      </c>
      <c r="C23" s="10">
        <v>32827.451000000001</v>
      </c>
      <c r="D23" s="10" t="s">
        <v>55</v>
      </c>
      <c r="E23">
        <f t="shared" si="0"/>
        <v>-7766.8371853378458</v>
      </c>
      <c r="F23">
        <f t="shared" si="1"/>
        <v>-7767</v>
      </c>
      <c r="O23">
        <f t="shared" ca="1" si="2"/>
        <v>5.3913380922193145E-2</v>
      </c>
      <c r="Q23" s="2">
        <f t="shared" si="3"/>
        <v>17808.951000000001</v>
      </c>
      <c r="R23">
        <f t="shared" si="4"/>
        <v>0.44239999999990687</v>
      </c>
    </row>
    <row r="24" spans="1:18" x14ac:dyDescent="0.2">
      <c r="A24" t="s">
        <v>61</v>
      </c>
      <c r="B24" s="3" t="s">
        <v>39</v>
      </c>
      <c r="C24" s="10">
        <v>32906.266000000003</v>
      </c>
      <c r="D24" s="10" t="s">
        <v>55</v>
      </c>
      <c r="E24">
        <f t="shared" si="0"/>
        <v>-7737.8312233181186</v>
      </c>
      <c r="F24">
        <f t="shared" si="1"/>
        <v>-7738</v>
      </c>
      <c r="O24">
        <f t="shared" ca="1" si="2"/>
        <v>5.3704743392190384E-2</v>
      </c>
      <c r="Q24" s="2">
        <f t="shared" si="3"/>
        <v>17887.766000000003</v>
      </c>
      <c r="R24">
        <f t="shared" si="4"/>
        <v>0.45860000000539003</v>
      </c>
    </row>
    <row r="25" spans="1:18" x14ac:dyDescent="0.2">
      <c r="A25" t="s">
        <v>61</v>
      </c>
      <c r="B25" s="3" t="s">
        <v>39</v>
      </c>
      <c r="C25" s="10">
        <v>33914.313000000002</v>
      </c>
      <c r="D25" s="10" t="s">
        <v>55</v>
      </c>
      <c r="E25">
        <f t="shared" si="0"/>
        <v>-7366.8438098042079</v>
      </c>
      <c r="F25">
        <f t="shared" si="1"/>
        <v>-7367</v>
      </c>
      <c r="O25">
        <f t="shared" ca="1" si="2"/>
        <v>5.1035621887672362E-2</v>
      </c>
      <c r="Q25" s="2">
        <f t="shared" si="3"/>
        <v>18895.813000000002</v>
      </c>
      <c r="R25">
        <f t="shared" si="4"/>
        <v>0.4244000000107917</v>
      </c>
    </row>
    <row r="26" spans="1:18" x14ac:dyDescent="0.2">
      <c r="A26" t="s">
        <v>61</v>
      </c>
      <c r="B26" s="3" t="s">
        <v>39</v>
      </c>
      <c r="C26" s="10">
        <v>33922.495999999999</v>
      </c>
      <c r="D26" s="10" t="s">
        <v>55</v>
      </c>
      <c r="E26">
        <f t="shared" si="0"/>
        <v>-7363.8322537906661</v>
      </c>
      <c r="F26">
        <f t="shared" si="1"/>
        <v>-7364</v>
      </c>
      <c r="O26">
        <f t="shared" ca="1" si="2"/>
        <v>5.1014038694913458E-2</v>
      </c>
      <c r="Q26" s="2">
        <f t="shared" si="3"/>
        <v>18903.995999999999</v>
      </c>
      <c r="R26">
        <f t="shared" si="4"/>
        <v>0.4558000000033644</v>
      </c>
    </row>
    <row r="27" spans="1:18" x14ac:dyDescent="0.2">
      <c r="A27" t="s">
        <v>61</v>
      </c>
      <c r="B27" s="3" t="s">
        <v>39</v>
      </c>
      <c r="C27" s="10">
        <v>33930.572</v>
      </c>
      <c r="D27" s="10" t="s">
        <v>55</v>
      </c>
      <c r="E27">
        <f t="shared" si="0"/>
        <v>-7360.8600765493875</v>
      </c>
      <c r="F27">
        <f t="shared" si="1"/>
        <v>-7361</v>
      </c>
      <c r="O27">
        <f t="shared" ca="1" si="2"/>
        <v>5.0992455502154553E-2</v>
      </c>
      <c r="Q27" s="2">
        <f t="shared" si="3"/>
        <v>18912.072</v>
      </c>
      <c r="R27">
        <f t="shared" si="4"/>
        <v>0.38019999999960419</v>
      </c>
    </row>
    <row r="28" spans="1:18" x14ac:dyDescent="0.2">
      <c r="A28" t="s">
        <v>85</v>
      </c>
      <c r="B28" s="3" t="s">
        <v>39</v>
      </c>
      <c r="C28" s="10">
        <v>53931.500999999997</v>
      </c>
      <c r="D28" s="10" t="s">
        <v>55</v>
      </c>
      <c r="E28">
        <f t="shared" si="0"/>
        <v>0</v>
      </c>
      <c r="F28">
        <f t="shared" si="1"/>
        <v>0</v>
      </c>
      <c r="G28">
        <f t="shared" ref="G28:G33" si="5">+C28-(C$7+F28*C$8)</f>
        <v>0</v>
      </c>
      <c r="I28">
        <f>+G28</f>
        <v>0</v>
      </c>
      <c r="O28">
        <f t="shared" ca="1" si="2"/>
        <v>-1.9655051306141091E-3</v>
      </c>
      <c r="Q28" s="2">
        <f t="shared" si="3"/>
        <v>38913.000999999997</v>
      </c>
    </row>
    <row r="29" spans="1:18" x14ac:dyDescent="0.2">
      <c r="A29" s="29" t="s">
        <v>107</v>
      </c>
      <c r="B29" s="30" t="s">
        <v>39</v>
      </c>
      <c r="C29" s="47">
        <v>54393.413999999997</v>
      </c>
      <c r="D29" s="31">
        <v>0.01</v>
      </c>
      <c r="E29">
        <f t="shared" si="0"/>
        <v>169.9959517150009</v>
      </c>
      <c r="F29">
        <f t="shared" si="1"/>
        <v>170</v>
      </c>
      <c r="G29">
        <f t="shared" si="5"/>
        <v>-1.0999999998603016E-2</v>
      </c>
      <c r="I29">
        <f>+G29</f>
        <v>-1.0999999998603016E-2</v>
      </c>
      <c r="O29">
        <f t="shared" ca="1" si="2"/>
        <v>-3.1885527202854405E-3</v>
      </c>
      <c r="Q29" s="2">
        <f t="shared" si="3"/>
        <v>39374.913999999997</v>
      </c>
    </row>
    <row r="30" spans="1:18" x14ac:dyDescent="0.2">
      <c r="A30" s="29" t="s">
        <v>43</v>
      </c>
      <c r="B30" s="32" t="s">
        <v>39</v>
      </c>
      <c r="C30" s="33">
        <v>55477.578000000001</v>
      </c>
      <c r="D30" s="33">
        <v>5.0000000000000001E-3</v>
      </c>
      <c r="E30">
        <f t="shared" si="0"/>
        <v>568.99639334609333</v>
      </c>
      <c r="F30">
        <f t="shared" si="1"/>
        <v>569</v>
      </c>
      <c r="G30">
        <f t="shared" si="5"/>
        <v>-9.7999999925377779E-3</v>
      </c>
      <c r="I30">
        <f>+G30</f>
        <v>-9.7999999925377779E-3</v>
      </c>
      <c r="O30">
        <f t="shared" ca="1" si="2"/>
        <v>-6.0591173572199187E-3</v>
      </c>
      <c r="Q30" s="2">
        <f t="shared" si="3"/>
        <v>40459.078000000001</v>
      </c>
    </row>
    <row r="31" spans="1:18" x14ac:dyDescent="0.2">
      <c r="A31" t="s">
        <v>100</v>
      </c>
      <c r="B31" s="3" t="s">
        <v>39</v>
      </c>
      <c r="C31" s="10">
        <v>55833.537100000001</v>
      </c>
      <c r="D31" s="10" t="s">
        <v>55</v>
      </c>
      <c r="E31">
        <f t="shared" si="0"/>
        <v>699.99856469895656</v>
      </c>
      <c r="F31">
        <f t="shared" si="1"/>
        <v>700</v>
      </c>
      <c r="G31">
        <f t="shared" si="5"/>
        <v>-3.8999999960651621E-3</v>
      </c>
      <c r="K31">
        <f>+G31</f>
        <v>-3.8999999960651621E-3</v>
      </c>
      <c r="O31">
        <f t="shared" ca="1" si="2"/>
        <v>-7.0015834410254744E-3</v>
      </c>
      <c r="Q31" s="2">
        <f t="shared" si="3"/>
        <v>40815.037100000001</v>
      </c>
    </row>
    <row r="32" spans="1:18" x14ac:dyDescent="0.2">
      <c r="A32" s="29" t="s">
        <v>44</v>
      </c>
      <c r="B32" s="32" t="s">
        <v>39</v>
      </c>
      <c r="C32" s="33">
        <v>56219.378400000001</v>
      </c>
      <c r="D32" s="33">
        <v>3.8E-3</v>
      </c>
      <c r="E32">
        <f t="shared" si="0"/>
        <v>841.99815987045667</v>
      </c>
      <c r="F32">
        <f t="shared" si="1"/>
        <v>842</v>
      </c>
      <c r="G32">
        <f t="shared" si="5"/>
        <v>-4.9999999973806553E-3</v>
      </c>
      <c r="K32">
        <f>+G32</f>
        <v>-4.9999999973806553E-3</v>
      </c>
      <c r="O32">
        <f t="shared" ca="1" si="2"/>
        <v>-8.0231878982803505E-3</v>
      </c>
      <c r="Q32" s="2">
        <f t="shared" si="3"/>
        <v>41200.878400000001</v>
      </c>
    </row>
    <row r="33" spans="1:17" x14ac:dyDescent="0.2">
      <c r="A33" s="49" t="s">
        <v>0</v>
      </c>
      <c r="B33" s="50" t="s">
        <v>39</v>
      </c>
      <c r="C33" s="51">
        <v>57261.4424</v>
      </c>
      <c r="D33" s="51" t="s">
        <v>1</v>
      </c>
      <c r="E33">
        <f>+(C33-C$7)/C$8</f>
        <v>1225.5047107316368</v>
      </c>
      <c r="F33">
        <f t="shared" si="1"/>
        <v>1225.5</v>
      </c>
      <c r="G33">
        <f t="shared" si="5"/>
        <v>1.2800000004062895E-2</v>
      </c>
      <c r="K33">
        <f>+G33</f>
        <v>1.2800000004062895E-2</v>
      </c>
      <c r="O33">
        <f ca="1">+C$11+C$12*$F33</f>
        <v>-1.078223937262715E-2</v>
      </c>
      <c r="Q33" s="2">
        <f>+C33-15018.5</f>
        <v>42242.9424</v>
      </c>
    </row>
    <row r="34" spans="1:17" x14ac:dyDescent="0.2">
      <c r="A34" s="52" t="s">
        <v>109</v>
      </c>
      <c r="B34" s="53" t="s">
        <v>39</v>
      </c>
      <c r="C34" s="54">
        <v>58004.560899999924</v>
      </c>
      <c r="D34" s="54">
        <v>2.9999999999999997E-4</v>
      </c>
      <c r="E34">
        <f>+(C34-C$7)/C$8</f>
        <v>1498.9915722066567</v>
      </c>
      <c r="F34">
        <f t="shared" si="1"/>
        <v>1499</v>
      </c>
      <c r="G34">
        <f>+C34-(C$7+F34*C$8)</f>
        <v>-2.2900000069057569E-2</v>
      </c>
      <c r="K34">
        <f>+G34</f>
        <v>-2.2900000069057569E-2</v>
      </c>
      <c r="O34">
        <f ca="1">+C$11+C$12*$F34</f>
        <v>-1.2749907112480733E-2</v>
      </c>
      <c r="Q34" s="2">
        <f>+C34-15018.5</f>
        <v>42986.060899999924</v>
      </c>
    </row>
    <row r="35" spans="1:17" x14ac:dyDescent="0.2">
      <c r="A35" s="52" t="s">
        <v>109</v>
      </c>
      <c r="B35" s="53" t="s">
        <v>39</v>
      </c>
      <c r="C35" s="54">
        <v>58004.561079999898</v>
      </c>
      <c r="D35" s="54">
        <v>2.9999999999999997E-4</v>
      </c>
      <c r="E35">
        <f>+(C35-C$7)/C$8</f>
        <v>1498.9916384513106</v>
      </c>
      <c r="F35">
        <f t="shared" si="1"/>
        <v>1499</v>
      </c>
      <c r="G35">
        <f>+C35-(C$7+F35*C$8)</f>
        <v>-2.2720000095432624E-2</v>
      </c>
      <c r="K35">
        <f>+G35</f>
        <v>-2.2720000095432624E-2</v>
      </c>
      <c r="O35">
        <f ca="1">+C$11+C$12*$F35</f>
        <v>-1.2749907112480733E-2</v>
      </c>
      <c r="Q35" s="2">
        <f>+C35-15018.5</f>
        <v>42986.061079999898</v>
      </c>
    </row>
    <row r="36" spans="1:17" x14ac:dyDescent="0.2">
      <c r="C36" s="10"/>
      <c r="D36" s="10"/>
    </row>
    <row r="37" spans="1:17" x14ac:dyDescent="0.2">
      <c r="C37" s="10"/>
      <c r="D37" s="10"/>
    </row>
    <row r="38" spans="1:17" x14ac:dyDescent="0.2">
      <c r="C38" s="10"/>
      <c r="D38" s="10"/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</sheetData>
  <protectedRanges>
    <protectedRange sqref="A34:D35" name="Range1"/>
  </protectedRanges>
  <phoneticPr fontId="8" type="noConversion"/>
  <hyperlinks>
    <hyperlink ref="D8" r:id="rId1" display="http://simbad.u-strasbg.fr/cgi-bin/cdsbib4?1984ApJS...54..421G"/>
    <hyperlink ref="H3638" r:id="rId2" display="http://vsolj.cetus-net.org/bulletin.html"/>
  </hyperlinks>
  <pageMargins left="0.75" right="0.75" top="1" bottom="1" header="0.5" footer="0.5"/>
  <pageSetup orientation="portrait" verticalDpi="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7"/>
  <sheetViews>
    <sheetView workbookViewId="0">
      <selection activeCell="A11" sqref="A11:D11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4" t="s">
        <v>45</v>
      </c>
      <c r="I1" s="35" t="s">
        <v>46</v>
      </c>
      <c r="J1" s="36" t="s">
        <v>47</v>
      </c>
    </row>
    <row r="2" spans="1:16" x14ac:dyDescent="0.2">
      <c r="I2" s="37" t="s">
        <v>48</v>
      </c>
      <c r="J2" s="38" t="s">
        <v>49</v>
      </c>
    </row>
    <row r="3" spans="1:16" x14ac:dyDescent="0.2">
      <c r="A3" s="39" t="s">
        <v>50</v>
      </c>
      <c r="I3" s="37" t="s">
        <v>51</v>
      </c>
      <c r="J3" s="38" t="s">
        <v>52</v>
      </c>
    </row>
    <row r="4" spans="1:16" x14ac:dyDescent="0.2">
      <c r="I4" s="37" t="s">
        <v>53</v>
      </c>
      <c r="J4" s="38" t="s">
        <v>52</v>
      </c>
    </row>
    <row r="5" spans="1:16" ht="13.5" thickBot="1" x14ac:dyDescent="0.25">
      <c r="I5" s="40" t="s">
        <v>54</v>
      </c>
      <c r="J5" s="41" t="s">
        <v>55</v>
      </c>
    </row>
    <row r="10" spans="1:16" ht="13.5" thickBot="1" x14ac:dyDescent="0.25"/>
    <row r="11" spans="1:16" ht="12.75" customHeight="1" thickBot="1" x14ac:dyDescent="0.25">
      <c r="A11" s="10" t="str">
        <f t="shared" ref="A11:A22" si="0">P11</f>
        <v>OEJV 0073 </v>
      </c>
      <c r="B11" s="3" t="str">
        <f t="shared" ref="B11:B22" si="1">IF(H11=INT(H11),"I","II")</f>
        <v>I</v>
      </c>
      <c r="C11" s="10">
        <f t="shared" ref="C11:C22" si="2">1*G11</f>
        <v>53931.500999999997</v>
      </c>
      <c r="D11" s="12" t="str">
        <f t="shared" ref="D11:D22" si="3">VLOOKUP(F11,I$1:J$5,2,FALSE)</f>
        <v>vis</v>
      </c>
      <c r="E11" s="42">
        <f>VLOOKUP(C11,Active!C$21:E$971,3,FALSE)</f>
        <v>0</v>
      </c>
      <c r="F11" s="3" t="s">
        <v>54</v>
      </c>
      <c r="G11" s="12" t="str">
        <f t="shared" ref="G11:G22" si="4">MID(I11,3,LEN(I11)-3)</f>
        <v>53931.501</v>
      </c>
      <c r="H11" s="10">
        <f t="shared" ref="H11:H22" si="5">1*K11</f>
        <v>8439</v>
      </c>
      <c r="I11" s="43" t="s">
        <v>80</v>
      </c>
      <c r="J11" s="44" t="s">
        <v>81</v>
      </c>
      <c r="K11" s="43">
        <v>8439</v>
      </c>
      <c r="L11" s="43" t="s">
        <v>82</v>
      </c>
      <c r="M11" s="44" t="s">
        <v>83</v>
      </c>
      <c r="N11" s="44" t="s">
        <v>54</v>
      </c>
      <c r="O11" s="45" t="s">
        <v>84</v>
      </c>
      <c r="P11" s="46" t="s">
        <v>85</v>
      </c>
    </row>
    <row r="12" spans="1:16" ht="12.75" customHeight="1" thickBot="1" x14ac:dyDescent="0.25">
      <c r="A12" s="10" t="str">
        <f t="shared" si="0"/>
        <v>OEJV 0073 </v>
      </c>
      <c r="B12" s="3" t="str">
        <f t="shared" si="1"/>
        <v>I</v>
      </c>
      <c r="C12" s="10">
        <f t="shared" si="2"/>
        <v>53931.502999999997</v>
      </c>
      <c r="D12" s="12" t="str">
        <f t="shared" si="3"/>
        <v>vis</v>
      </c>
      <c r="E12" s="42" t="e">
        <f>VLOOKUP(C12,Active!C$21:E$971,3,FALSE)</f>
        <v>#N/A</v>
      </c>
      <c r="F12" s="3" t="s">
        <v>54</v>
      </c>
      <c r="G12" s="12" t="str">
        <f t="shared" si="4"/>
        <v>53931.503</v>
      </c>
      <c r="H12" s="10">
        <f t="shared" si="5"/>
        <v>8439</v>
      </c>
      <c r="I12" s="43" t="s">
        <v>86</v>
      </c>
      <c r="J12" s="44" t="s">
        <v>87</v>
      </c>
      <c r="K12" s="43">
        <v>8439</v>
      </c>
      <c r="L12" s="43" t="s">
        <v>88</v>
      </c>
      <c r="M12" s="44" t="s">
        <v>83</v>
      </c>
      <c r="N12" s="44" t="s">
        <v>39</v>
      </c>
      <c r="O12" s="45" t="s">
        <v>84</v>
      </c>
      <c r="P12" s="46" t="s">
        <v>85</v>
      </c>
    </row>
    <row r="13" spans="1:16" ht="12.75" customHeight="1" thickBot="1" x14ac:dyDescent="0.25">
      <c r="A13" s="10" t="str">
        <f t="shared" si="0"/>
        <v>OEJV 0116 </v>
      </c>
      <c r="B13" s="3" t="str">
        <f t="shared" si="1"/>
        <v>I</v>
      </c>
      <c r="C13" s="10">
        <f t="shared" si="2"/>
        <v>54393.413999999997</v>
      </c>
      <c r="D13" s="12" t="str">
        <f t="shared" si="3"/>
        <v>vis</v>
      </c>
      <c r="E13" s="42">
        <f>VLOOKUP(C13,Active!C$21:E$971,3,FALSE)</f>
        <v>169.9959517150009</v>
      </c>
      <c r="F13" s="3" t="s">
        <v>54</v>
      </c>
      <c r="G13" s="12" t="str">
        <f t="shared" si="4"/>
        <v>54393.414</v>
      </c>
      <c r="H13" s="10">
        <f t="shared" si="5"/>
        <v>8609</v>
      </c>
      <c r="I13" s="43" t="s">
        <v>89</v>
      </c>
      <c r="J13" s="44" t="s">
        <v>90</v>
      </c>
      <c r="K13" s="43">
        <v>8609</v>
      </c>
      <c r="L13" s="43" t="s">
        <v>91</v>
      </c>
      <c r="M13" s="44" t="s">
        <v>83</v>
      </c>
      <c r="N13" s="44" t="s">
        <v>92</v>
      </c>
      <c r="O13" s="45" t="s">
        <v>93</v>
      </c>
      <c r="P13" s="46" t="s">
        <v>94</v>
      </c>
    </row>
    <row r="14" spans="1:16" ht="12.75" customHeight="1" thickBot="1" x14ac:dyDescent="0.25">
      <c r="A14" s="10" t="str">
        <f t="shared" si="0"/>
        <v>BAVM 231 </v>
      </c>
      <c r="B14" s="3" t="str">
        <f t="shared" si="1"/>
        <v>I</v>
      </c>
      <c r="C14" s="10">
        <f t="shared" si="2"/>
        <v>56219.378400000001</v>
      </c>
      <c r="D14" s="12" t="str">
        <f t="shared" si="3"/>
        <v>vis</v>
      </c>
      <c r="E14" s="42">
        <f>VLOOKUP(C14,Active!C$21:E$971,3,FALSE)</f>
        <v>841.99815987045667</v>
      </c>
      <c r="F14" s="3" t="s">
        <v>54</v>
      </c>
      <c r="G14" s="12" t="str">
        <f t="shared" si="4"/>
        <v>56219.3784</v>
      </c>
      <c r="H14" s="10">
        <f t="shared" si="5"/>
        <v>9281</v>
      </c>
      <c r="I14" s="43" t="s">
        <v>101</v>
      </c>
      <c r="J14" s="44" t="s">
        <v>102</v>
      </c>
      <c r="K14" s="43" t="s">
        <v>103</v>
      </c>
      <c r="L14" s="43" t="s">
        <v>104</v>
      </c>
      <c r="M14" s="44" t="s">
        <v>83</v>
      </c>
      <c r="N14" s="44">
        <v>0</v>
      </c>
      <c r="O14" s="45" t="s">
        <v>105</v>
      </c>
      <c r="P14" s="46" t="s">
        <v>106</v>
      </c>
    </row>
    <row r="15" spans="1:16" ht="12.75" customHeight="1" thickBot="1" x14ac:dyDescent="0.25">
      <c r="A15" s="10" t="str">
        <f t="shared" si="0"/>
        <v> VSS 4.166 </v>
      </c>
      <c r="B15" s="3" t="str">
        <f t="shared" si="1"/>
        <v>I</v>
      </c>
      <c r="C15" s="10">
        <f t="shared" si="2"/>
        <v>31001.438999999998</v>
      </c>
      <c r="D15" s="12" t="str">
        <f t="shared" si="3"/>
        <v>vis</v>
      </c>
      <c r="E15" s="42">
        <f>VLOOKUP(C15,Active!C$21:E$971,3,FALSE)</f>
        <v>-8438.8569115265709</v>
      </c>
      <c r="F15" s="3" t="s">
        <v>54</v>
      </c>
      <c r="G15" s="12" t="str">
        <f t="shared" si="4"/>
        <v>31001.439</v>
      </c>
      <c r="H15" s="10">
        <f t="shared" si="5"/>
        <v>0</v>
      </c>
      <c r="I15" s="43" t="s">
        <v>56</v>
      </c>
      <c r="J15" s="44" t="s">
        <v>57</v>
      </c>
      <c r="K15" s="43">
        <v>0</v>
      </c>
      <c r="L15" s="43" t="s">
        <v>58</v>
      </c>
      <c r="M15" s="44" t="s">
        <v>59</v>
      </c>
      <c r="N15" s="44"/>
      <c r="O15" s="45" t="s">
        <v>60</v>
      </c>
      <c r="P15" s="45" t="s">
        <v>61</v>
      </c>
    </row>
    <row r="16" spans="1:16" ht="12.75" customHeight="1" thickBot="1" x14ac:dyDescent="0.25">
      <c r="A16" s="10" t="str">
        <f t="shared" si="0"/>
        <v> VSS 4.166 </v>
      </c>
      <c r="B16" s="3" t="str">
        <f t="shared" si="1"/>
        <v>I</v>
      </c>
      <c r="C16" s="10">
        <f t="shared" si="2"/>
        <v>31702.558000000001</v>
      </c>
      <c r="D16" s="12" t="str">
        <f t="shared" si="3"/>
        <v>vis</v>
      </c>
      <c r="E16" s="42">
        <f>VLOOKUP(C16,Active!C$21:E$971,3,FALSE)</f>
        <v>-8180.8269542175749</v>
      </c>
      <c r="F16" s="3" t="s">
        <v>54</v>
      </c>
      <c r="G16" s="12" t="str">
        <f t="shared" si="4"/>
        <v>31702.558</v>
      </c>
      <c r="H16" s="10">
        <f t="shared" si="5"/>
        <v>258</v>
      </c>
      <c r="I16" s="43" t="s">
        <v>62</v>
      </c>
      <c r="J16" s="44" t="s">
        <v>63</v>
      </c>
      <c r="K16" s="43">
        <v>258</v>
      </c>
      <c r="L16" s="43" t="s">
        <v>64</v>
      </c>
      <c r="M16" s="44" t="s">
        <v>59</v>
      </c>
      <c r="N16" s="44"/>
      <c r="O16" s="45" t="s">
        <v>60</v>
      </c>
      <c r="P16" s="45" t="s">
        <v>61</v>
      </c>
    </row>
    <row r="17" spans="1:16" ht="12.75" customHeight="1" thickBot="1" x14ac:dyDescent="0.25">
      <c r="A17" s="10" t="str">
        <f t="shared" si="0"/>
        <v> VSS 4.166 </v>
      </c>
      <c r="B17" s="3" t="str">
        <f t="shared" si="1"/>
        <v>I</v>
      </c>
      <c r="C17" s="10">
        <f t="shared" si="2"/>
        <v>32827.451000000001</v>
      </c>
      <c r="D17" s="12" t="str">
        <f t="shared" si="3"/>
        <v>vis</v>
      </c>
      <c r="E17" s="42">
        <f>VLOOKUP(C17,Active!C$21:E$971,3,FALSE)</f>
        <v>-7766.8371853378458</v>
      </c>
      <c r="F17" s="3" t="s">
        <v>54</v>
      </c>
      <c r="G17" s="12" t="str">
        <f t="shared" si="4"/>
        <v>32827.451</v>
      </c>
      <c r="H17" s="10">
        <f t="shared" si="5"/>
        <v>672</v>
      </c>
      <c r="I17" s="43" t="s">
        <v>65</v>
      </c>
      <c r="J17" s="44" t="s">
        <v>66</v>
      </c>
      <c r="K17" s="43">
        <v>672</v>
      </c>
      <c r="L17" s="43" t="s">
        <v>67</v>
      </c>
      <c r="M17" s="44" t="s">
        <v>59</v>
      </c>
      <c r="N17" s="44"/>
      <c r="O17" s="45" t="s">
        <v>60</v>
      </c>
      <c r="P17" s="45" t="s">
        <v>61</v>
      </c>
    </row>
    <row r="18" spans="1:16" ht="12.75" customHeight="1" thickBot="1" x14ac:dyDescent="0.25">
      <c r="A18" s="10" t="str">
        <f t="shared" si="0"/>
        <v> VSS 4.166 </v>
      </c>
      <c r="B18" s="3" t="str">
        <f t="shared" si="1"/>
        <v>I</v>
      </c>
      <c r="C18" s="10">
        <f t="shared" si="2"/>
        <v>32906.266000000003</v>
      </c>
      <c r="D18" s="12" t="str">
        <f t="shared" si="3"/>
        <v>vis</v>
      </c>
      <c r="E18" s="42">
        <f>VLOOKUP(C18,Active!C$21:E$971,3,FALSE)</f>
        <v>-7737.8312233181186</v>
      </c>
      <c r="F18" s="3" t="s">
        <v>54</v>
      </c>
      <c r="G18" s="12" t="str">
        <f t="shared" si="4"/>
        <v>32906.266</v>
      </c>
      <c r="H18" s="10">
        <f t="shared" si="5"/>
        <v>701</v>
      </c>
      <c r="I18" s="43" t="s">
        <v>68</v>
      </c>
      <c r="J18" s="44" t="s">
        <v>69</v>
      </c>
      <c r="K18" s="43">
        <v>701</v>
      </c>
      <c r="L18" s="43" t="s">
        <v>70</v>
      </c>
      <c r="M18" s="44" t="s">
        <v>59</v>
      </c>
      <c r="N18" s="44"/>
      <c r="O18" s="45" t="s">
        <v>60</v>
      </c>
      <c r="P18" s="45" t="s">
        <v>61</v>
      </c>
    </row>
    <row r="19" spans="1:16" ht="12.75" customHeight="1" thickBot="1" x14ac:dyDescent="0.25">
      <c r="A19" s="10" t="str">
        <f t="shared" si="0"/>
        <v> VSS 4.166 </v>
      </c>
      <c r="B19" s="3" t="str">
        <f t="shared" si="1"/>
        <v>I</v>
      </c>
      <c r="C19" s="10">
        <f t="shared" si="2"/>
        <v>33914.313000000002</v>
      </c>
      <c r="D19" s="12" t="str">
        <f t="shared" si="3"/>
        <v>vis</v>
      </c>
      <c r="E19" s="42">
        <f>VLOOKUP(C19,Active!C$21:E$971,3,FALSE)</f>
        <v>-7366.8438098042079</v>
      </c>
      <c r="F19" s="3" t="s">
        <v>54</v>
      </c>
      <c r="G19" s="12" t="str">
        <f t="shared" si="4"/>
        <v>33914.313</v>
      </c>
      <c r="H19" s="10">
        <f t="shared" si="5"/>
        <v>1072</v>
      </c>
      <c r="I19" s="43" t="s">
        <v>71</v>
      </c>
      <c r="J19" s="44" t="s">
        <v>72</v>
      </c>
      <c r="K19" s="43">
        <v>1072</v>
      </c>
      <c r="L19" s="43" t="s">
        <v>73</v>
      </c>
      <c r="M19" s="44" t="s">
        <v>59</v>
      </c>
      <c r="N19" s="44"/>
      <c r="O19" s="45" t="s">
        <v>60</v>
      </c>
      <c r="P19" s="45" t="s">
        <v>61</v>
      </c>
    </row>
    <row r="20" spans="1:16" ht="12.75" customHeight="1" thickBot="1" x14ac:dyDescent="0.25">
      <c r="A20" s="10" t="str">
        <f t="shared" si="0"/>
        <v> VSS 4.166 </v>
      </c>
      <c r="B20" s="3" t="str">
        <f t="shared" si="1"/>
        <v>I</v>
      </c>
      <c r="C20" s="10">
        <f t="shared" si="2"/>
        <v>33922.495999999999</v>
      </c>
      <c r="D20" s="12" t="str">
        <f t="shared" si="3"/>
        <v>vis</v>
      </c>
      <c r="E20" s="42">
        <f>VLOOKUP(C20,Active!C$21:E$971,3,FALSE)</f>
        <v>-7363.8322537906661</v>
      </c>
      <c r="F20" s="3" t="s">
        <v>54</v>
      </c>
      <c r="G20" s="12" t="str">
        <f t="shared" si="4"/>
        <v>33922.496</v>
      </c>
      <c r="H20" s="10">
        <f t="shared" si="5"/>
        <v>1075</v>
      </c>
      <c r="I20" s="43" t="s">
        <v>74</v>
      </c>
      <c r="J20" s="44" t="s">
        <v>75</v>
      </c>
      <c r="K20" s="43">
        <v>1075</v>
      </c>
      <c r="L20" s="43" t="s">
        <v>76</v>
      </c>
      <c r="M20" s="44" t="s">
        <v>59</v>
      </c>
      <c r="N20" s="44"/>
      <c r="O20" s="45" t="s">
        <v>60</v>
      </c>
      <c r="P20" s="45" t="s">
        <v>61</v>
      </c>
    </row>
    <row r="21" spans="1:16" ht="12.75" customHeight="1" thickBot="1" x14ac:dyDescent="0.25">
      <c r="A21" s="10" t="str">
        <f t="shared" si="0"/>
        <v> VSS 4.166 </v>
      </c>
      <c r="B21" s="3" t="str">
        <f t="shared" si="1"/>
        <v>I</v>
      </c>
      <c r="C21" s="10">
        <f t="shared" si="2"/>
        <v>33930.572</v>
      </c>
      <c r="D21" s="12" t="str">
        <f t="shared" si="3"/>
        <v>vis</v>
      </c>
      <c r="E21" s="42">
        <f>VLOOKUP(C21,Active!C$21:E$971,3,FALSE)</f>
        <v>-7360.8600765493875</v>
      </c>
      <c r="F21" s="3" t="s">
        <v>54</v>
      </c>
      <c r="G21" s="12" t="str">
        <f t="shared" si="4"/>
        <v>33930.572</v>
      </c>
      <c r="H21" s="10">
        <f t="shared" si="5"/>
        <v>1078</v>
      </c>
      <c r="I21" s="43" t="s">
        <v>77</v>
      </c>
      <c r="J21" s="44" t="s">
        <v>78</v>
      </c>
      <c r="K21" s="43">
        <v>1078</v>
      </c>
      <c r="L21" s="43" t="s">
        <v>79</v>
      </c>
      <c r="M21" s="44" t="s">
        <v>59</v>
      </c>
      <c r="N21" s="44"/>
      <c r="O21" s="45" t="s">
        <v>60</v>
      </c>
      <c r="P21" s="45" t="s">
        <v>61</v>
      </c>
    </row>
    <row r="22" spans="1:16" ht="12.75" customHeight="1" thickBot="1" x14ac:dyDescent="0.25">
      <c r="A22" s="10" t="str">
        <f t="shared" si="0"/>
        <v>BAVM 225 </v>
      </c>
      <c r="B22" s="3" t="str">
        <f t="shared" si="1"/>
        <v>I</v>
      </c>
      <c r="C22" s="10">
        <f t="shared" si="2"/>
        <v>55833.537100000001</v>
      </c>
      <c r="D22" s="12" t="str">
        <f t="shared" si="3"/>
        <v>vis</v>
      </c>
      <c r="E22" s="42">
        <f>VLOOKUP(C22,Active!C$21:E$971,3,FALSE)</f>
        <v>699.99856469895656</v>
      </c>
      <c r="F22" s="3" t="s">
        <v>54</v>
      </c>
      <c r="G22" s="12" t="str">
        <f t="shared" si="4"/>
        <v>55833.5371</v>
      </c>
      <c r="H22" s="10">
        <f t="shared" si="5"/>
        <v>9139</v>
      </c>
      <c r="I22" s="43" t="s">
        <v>95</v>
      </c>
      <c r="J22" s="44" t="s">
        <v>96</v>
      </c>
      <c r="K22" s="43">
        <v>9139</v>
      </c>
      <c r="L22" s="43" t="s">
        <v>97</v>
      </c>
      <c r="M22" s="44" t="s">
        <v>83</v>
      </c>
      <c r="N22" s="44" t="s">
        <v>98</v>
      </c>
      <c r="O22" s="45" t="s">
        <v>99</v>
      </c>
      <c r="P22" s="46" t="s">
        <v>100</v>
      </c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</sheetData>
  <phoneticPr fontId="8" type="noConversion"/>
  <hyperlinks>
    <hyperlink ref="A3" r:id="rId1"/>
    <hyperlink ref="P11" r:id="rId2" display="http://var.astro.cz/oejv/issues/oejv0073.pdf"/>
    <hyperlink ref="P12" r:id="rId3" display="http://var.astro.cz/oejv/issues/oejv0073.pdf"/>
    <hyperlink ref="P13" r:id="rId4" display="http://var.astro.cz/oejv/issues/oejv0116.pdf"/>
    <hyperlink ref="P22" r:id="rId5" display="http://www.bav-astro.de/sfs/BAVM_link.php?BAVMnr=225"/>
    <hyperlink ref="P14" r:id="rId6" display="http://www.bav-astro.de/sfs/BAVM_link.php?BAVMnr=23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2023-05-30T08:27:51Z</dcterms:modified>
</cp:coreProperties>
</file>