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077A354-ACDE-4F49-A8C6-22E5B60AAC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H18" i="2" l="1"/>
  <c r="B18" i="2"/>
  <c r="G18" i="2"/>
  <c r="C18" i="2"/>
  <c r="D18" i="2"/>
  <c r="A18" i="2"/>
  <c r="H17" i="2"/>
  <c r="B17" i="2"/>
  <c r="G17" i="2"/>
  <c r="C17" i="2"/>
  <c r="D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C13" i="2"/>
  <c r="D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E22" i="1"/>
  <c r="F22" i="1"/>
  <c r="F11" i="1"/>
  <c r="Q24" i="1"/>
  <c r="Q29" i="1"/>
  <c r="Q28" i="1"/>
  <c r="G11" i="1"/>
  <c r="Q27" i="1"/>
  <c r="E15" i="1"/>
  <c r="C17" i="1"/>
  <c r="C21" i="1"/>
  <c r="E21" i="1" s="1"/>
  <c r="F21" i="1" s="1"/>
  <c r="G21" i="1" s="1"/>
  <c r="H21" i="1" s="1"/>
  <c r="Q25" i="1"/>
  <c r="Q26" i="1"/>
  <c r="Q22" i="1"/>
  <c r="Q23" i="1"/>
  <c r="E24" i="1"/>
  <c r="E13" i="2" s="1"/>
  <c r="E11" i="2"/>
  <c r="E27" i="1"/>
  <c r="F27" i="1" s="1"/>
  <c r="G27" i="1" s="1"/>
  <c r="I27" i="1" s="1"/>
  <c r="E28" i="1"/>
  <c r="F28" i="1" s="1"/>
  <c r="G28" i="1" s="1"/>
  <c r="I28" i="1" s="1"/>
  <c r="E25" i="1"/>
  <c r="F25" i="1" s="1"/>
  <c r="G25" i="1" s="1"/>
  <c r="I25" i="1" s="1"/>
  <c r="E29" i="1"/>
  <c r="F29" i="1"/>
  <c r="G29" i="1"/>
  <c r="I29" i="1" s="1"/>
  <c r="E23" i="1"/>
  <c r="F23" i="1"/>
  <c r="G23" i="1" s="1"/>
  <c r="I23" i="1" s="1"/>
  <c r="G22" i="1"/>
  <c r="I22" i="1" s="1"/>
  <c r="E26" i="1"/>
  <c r="F26" i="1"/>
  <c r="G26" i="1"/>
  <c r="I26" i="1" s="1"/>
  <c r="E12" i="2"/>
  <c r="E18" i="2"/>
  <c r="E17" i="2"/>
  <c r="E15" i="2"/>
  <c r="E16" i="2" l="1"/>
  <c r="Q21" i="1"/>
  <c r="F24" i="1"/>
  <c r="G24" i="1" s="1"/>
  <c r="E14" i="2"/>
  <c r="C12" i="1"/>
  <c r="C11" i="1"/>
  <c r="O25" i="1" l="1"/>
  <c r="O24" i="1"/>
  <c r="O23" i="1"/>
  <c r="O22" i="1"/>
  <c r="O21" i="1"/>
  <c r="C15" i="1"/>
  <c r="C18" i="1" s="1"/>
  <c r="O26" i="1"/>
  <c r="O27" i="1"/>
  <c r="O28" i="1"/>
  <c r="O29" i="1"/>
  <c r="C16" i="1"/>
  <c r="D18" i="1" s="1"/>
  <c r="J24" i="1"/>
  <c r="E16" i="1" l="1"/>
  <c r="E17" i="1" s="1"/>
</calcChain>
</file>

<file path=xl/sharedStrings.xml><?xml version="1.0" encoding="utf-8"?>
<sst xmlns="http://schemas.openxmlformats.org/spreadsheetml/2006/main" count="137" uniqueCount="103">
  <si>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</si>
  <si>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</si>
  <si>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</si>
  <si>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</si>
  <si>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</si>
  <si>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</si>
  <si>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</si>
  <si>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</si>
  <si>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</si>
  <si>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</si>
  <si>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</si>
  <si>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</si>
  <si>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</si>
  <si>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</si>
  <si>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</si>
  <si>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</si>
  <si>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</si>
  <si>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</si>
  <si>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</si>
  <si>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</si>
  <si>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</si>
  <si>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</si>
  <si>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</si>
  <si>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</si>
  <si>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</si>
  <si>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</si>
  <si>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</si>
  <si>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</si>
  <si>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</si>
  <si>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 5287</t>
  </si>
  <si>
    <t>I</t>
  </si>
  <si>
    <t>IBVS</t>
  </si>
  <si>
    <t>EA/SD</t>
  </si>
  <si>
    <t>IBVS 5657</t>
  </si>
  <si>
    <t>FL And / gsc 2290-0107</t>
  </si>
  <si>
    <t># of data points: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</si>
  <si>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</si>
  <si>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</si>
  <si>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</si>
  <si>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</si>
  <si>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</si>
  <si>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</si>
  <si>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</si>
  <si>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</si>
  <si>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5871</t>
  </si>
  <si>
    <t>IBVS 5920</t>
  </si>
  <si>
    <t>OEJV 0074</t>
  </si>
  <si>
    <t>IBVS 6011</t>
  </si>
  <si>
    <t>OEJV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</si>
  <si>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</si>
  <si>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</si>
  <si>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</si>
  <si>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</si>
  <si>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</si>
  <si>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</si>
  <si>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</si>
  <si>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</si>
  <si>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</si>
  <si>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</si>
  <si>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</si>
  <si>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2451799.6383 </t>
  </si>
  <si>
    <t> 12.09.2000 03:19 </t>
  </si>
  <si>
    <t> 0.0022 </t>
  </si>
  <si>
    <t>E </t>
  </si>
  <si>
    <t>?</t>
  </si>
  <si>
    <t> M.Zejda </t>
  </si>
  <si>
    <t>IBVS 5287 </t>
  </si>
  <si>
    <t>2451848.5405 </t>
  </si>
  <si>
    <t> 31.10.2000 00:58 </t>
  </si>
  <si>
    <t> -0.0006 </t>
  </si>
  <si>
    <t>2451899.25664 </t>
  </si>
  <si>
    <t> 20.12.2000 18:09 </t>
  </si>
  <si>
    <t> -0.00076 </t>
  </si>
  <si>
    <t>C </t>
  </si>
  <si>
    <t>o</t>
  </si>
  <si>
    <t> J.Šafár </t>
  </si>
  <si>
    <t>OEJV 0074 </t>
  </si>
  <si>
    <t>2452548.605 </t>
  </si>
  <si>
    <t> 01.10.2002 02:31 </t>
  </si>
  <si>
    <t> -0.002 </t>
  </si>
  <si>
    <t> R.Diethelm </t>
  </si>
  <si>
    <t> BBS 129 </t>
  </si>
  <si>
    <t>2453303.4649 </t>
  </si>
  <si>
    <t> 24.10.2004 23:09 </t>
  </si>
  <si>
    <t> -0.0005 </t>
  </si>
  <si>
    <t>-I</t>
  </si>
  <si>
    <t> F.Agerer </t>
  </si>
  <si>
    <t>BAVM 173 </t>
  </si>
  <si>
    <t>2454784.6643 </t>
  </si>
  <si>
    <t> 14.11.2008 03:56 </t>
  </si>
  <si>
    <t>2522</t>
  </si>
  <si>
    <t> 0.0108 </t>
  </si>
  <si>
    <t>IBVS 5871 </t>
  </si>
  <si>
    <t>2455158.696 </t>
  </si>
  <si>
    <t> 23.11.2009 04:42 </t>
  </si>
  <si>
    <t>2935</t>
  </si>
  <si>
    <t> 0.010 </t>
  </si>
  <si>
    <t>IBVS 5920 </t>
  </si>
  <si>
    <t>2455828.8737 </t>
  </si>
  <si>
    <t> 24.09.2011 08:58 </t>
  </si>
  <si>
    <t>3675</t>
  </si>
  <si>
    <t> 0.0075 </t>
  </si>
  <si>
    <t>IBVS 6011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</si>
</sst>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0" fillId="0" borderId="0" xfId="0">
      <alignment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And - O-C Diagr.</a:t>
            </a:r>
          </a:p>
        </c:rich>
      </c:tx>
      <c:layout>
        <c:manualLayout>
          <c:xMode val="edge"/>
          <c:yMode val="edge"/>
          <c:x val="0.37802941837439946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906854902912253"/>
          <c:w val="0.81583263062322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25-4E3F-9D30-953A0EBEC0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6.0044000005291309E-2</c:v>
                </c:pt>
                <c:pt idx="2">
                  <c:v>5.7468000006338116E-2</c:v>
                </c:pt>
                <c:pt idx="4">
                  <c:v>5.9156000010261778E-2</c:v>
                </c:pt>
                <c:pt idx="5">
                  <c:v>6.4782000001287088E-2</c:v>
                </c:pt>
                <c:pt idx="6">
                  <c:v>8.3420000002661254E-2</c:v>
                </c:pt>
                <c:pt idx="7">
                  <c:v>8.4148000001732726E-2</c:v>
                </c:pt>
                <c:pt idx="8">
                  <c:v>8.5288000002037734E-2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25-4E3F-9D30-953A0EBEC0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5.7544000002963003E-2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25-4E3F-9D30-953A0EBEC0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25-4E3F-9D30-953A0EBEC0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25-4E3F-9D30-953A0EBEC0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25-4E3F-9D30-953A0EBEC0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25-4E3F-9D30-953A0EBEC0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-4.7027766900692006E-2</c:v>
                </c:pt>
                <c:pt idx="1">
                  <c:v>5.6760221322056326E-2</c:v>
                </c:pt>
                <c:pt idx="2">
                  <c:v>5.7134506841224786E-2</c:v>
                </c:pt>
                <c:pt idx="3">
                  <c:v>5.7522654787029101E-2</c:v>
                </c:pt>
                <c:pt idx="4">
                  <c:v>6.2492334735988003E-2</c:v>
                </c:pt>
                <c:pt idx="5">
                  <c:v>6.8269501036486241E-2</c:v>
                </c:pt>
                <c:pt idx="6">
                  <c:v>7.9605500417967809E-2</c:v>
                </c:pt>
                <c:pt idx="7">
                  <c:v>8.246809151827468E-2</c:v>
                </c:pt>
                <c:pt idx="8">
                  <c:v>8.7597189373546061E-2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25-4E3F-9D30-953A0EBE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41936"/>
        <c:axId val="1"/>
      </c:scatterChart>
      <c:valAx>
        <c:axId val="797441936"/>
        <c:scaling>
          <c:orientation val="minMax"/>
          <c:max val="20000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41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62860256361331"/>
          <c:y val="0.91925596256989606"/>
          <c:w val="0.74636561382977373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And - O-C Diagr.</a:t>
            </a:r>
          </a:p>
        </c:rich>
      </c:tx>
      <c:layout>
        <c:manualLayout>
          <c:xMode val="edge"/>
          <c:yMode val="edge"/>
          <c:x val="0.37741935483870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96774193548387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0-4147-BB0B-AD65CB2CFA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6.0044000005291309E-2</c:v>
                </c:pt>
                <c:pt idx="2">
                  <c:v>5.7468000006338116E-2</c:v>
                </c:pt>
                <c:pt idx="4">
                  <c:v>5.9156000010261778E-2</c:v>
                </c:pt>
                <c:pt idx="5">
                  <c:v>6.4782000001287088E-2</c:v>
                </c:pt>
                <c:pt idx="6">
                  <c:v>8.3420000002661254E-2</c:v>
                </c:pt>
                <c:pt idx="7">
                  <c:v>8.4148000001732726E-2</c:v>
                </c:pt>
                <c:pt idx="8">
                  <c:v>8.5288000002037734E-2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80-4147-BB0B-AD65CB2CFA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5.7544000002963003E-2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80-4147-BB0B-AD65CB2CFA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80-4147-BB0B-AD65CB2CFA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80-4147-BB0B-AD65CB2CFA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80-4147-BB0B-AD65CB2CFA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6.7000000000000002E-3</c:v>
                  </c:pt>
                  <c:pt idx="3">
                    <c:v>1.5E-3</c:v>
                  </c:pt>
                  <c:pt idx="4">
                    <c:v>2E-3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80-4147-BB0B-AD65CB2CFA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</c:v>
                </c:pt>
                <c:pt idx="2">
                  <c:v>15028</c:v>
                </c:pt>
                <c:pt idx="3">
                  <c:v>15084</c:v>
                </c:pt>
                <c:pt idx="4">
                  <c:v>15801</c:v>
                </c:pt>
                <c:pt idx="5">
                  <c:v>16634.5</c:v>
                </c:pt>
                <c:pt idx="6">
                  <c:v>18270</c:v>
                </c:pt>
                <c:pt idx="7">
                  <c:v>18683</c:v>
                </c:pt>
                <c:pt idx="8">
                  <c:v>19423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-4.7027766900692006E-2</c:v>
                </c:pt>
                <c:pt idx="1">
                  <c:v>5.6760221322056326E-2</c:v>
                </c:pt>
                <c:pt idx="2">
                  <c:v>5.7134506841224786E-2</c:v>
                </c:pt>
                <c:pt idx="3">
                  <c:v>5.7522654787029101E-2</c:v>
                </c:pt>
                <c:pt idx="4">
                  <c:v>6.2492334735988003E-2</c:v>
                </c:pt>
                <c:pt idx="5">
                  <c:v>6.8269501036486241E-2</c:v>
                </c:pt>
                <c:pt idx="6">
                  <c:v>7.9605500417967809E-2</c:v>
                </c:pt>
                <c:pt idx="7">
                  <c:v>8.246809151827468E-2</c:v>
                </c:pt>
                <c:pt idx="8">
                  <c:v>8.7597189373546061E-2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80-4147-BB0B-AD65CB2C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38336"/>
        <c:axId val="1"/>
      </c:scatterChart>
      <c:valAx>
        <c:axId val="79743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38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58064516129032"/>
          <c:y val="0.91950464396284826"/>
          <c:w val="0.7451612903225806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9525</xdr:rowOff>
    </xdr:from>
    <xdr:to>
      <xdr:col>15</xdr:col>
      <xdr:colOff>228600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227A00D-2F47-BF89-5F09-5AFE3E3E9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7C33EB1-824F-9178-E838-A6564C5F2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www.konkoly.hu/cgi-bin/IBVS?5287" TargetMode="External"/><Relationship Id="rId7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871" TargetMode="External"/><Relationship Id="rId5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34</v>
      </c>
    </row>
    <row r="2" spans="1:7" x14ac:dyDescent="0.2">
      <c r="A2" t="s">
        <v>24</v>
      </c>
      <c r="B2" t="s">
        <v>32</v>
      </c>
    </row>
    <row r="4" spans="1:7" x14ac:dyDescent="0.2">
      <c r="A4" s="7" t="s">
        <v>0</v>
      </c>
      <c r="C4" s="3">
        <v>38238.464999999997</v>
      </c>
      <c r="D4" s="4">
        <v>0.905644</v>
      </c>
    </row>
    <row r="6" spans="1:7" x14ac:dyDescent="0.2">
      <c r="A6" s="7" t="s">
        <v>1</v>
      </c>
    </row>
    <row r="7" spans="1:7" x14ac:dyDescent="0.2">
      <c r="A7" t="s">
        <v>2</v>
      </c>
      <c r="C7">
        <v>38238.464999999997</v>
      </c>
    </row>
    <row r="8" spans="1:7" x14ac:dyDescent="0.2">
      <c r="A8" t="s">
        <v>3</v>
      </c>
      <c r="C8">
        <v>0.905644</v>
      </c>
    </row>
    <row r="9" spans="1:7" x14ac:dyDescent="0.2">
      <c r="A9" s="17" t="s">
        <v>37</v>
      </c>
      <c r="B9" s="16"/>
      <c r="C9" s="18">
        <v>-9.5</v>
      </c>
      <c r="D9" s="16" t="s">
        <v>38</v>
      </c>
      <c r="E9" s="16"/>
    </row>
    <row r="10" spans="1:7" ht="13.5" thickBot="1" x14ac:dyDescent="0.25">
      <c r="A10" s="16"/>
      <c r="B10" s="16"/>
      <c r="C10" s="6" t="s">
        <v>20</v>
      </c>
      <c r="D10" s="6" t="s">
        <v>21</v>
      </c>
      <c r="E10" s="16"/>
    </row>
    <row r="11" spans="1:7" x14ac:dyDescent="0.2">
      <c r="A11" s="16" t="s">
        <v>16</v>
      </c>
      <c r="B11" s="16"/>
      <c r="C11" s="19">
        <f ca="1">INTERCEPT(INDIRECT($G$11):G992,INDIRECT($F$11):F992)</f>
        <v>-4.7027766900692006E-2</v>
      </c>
      <c r="D11" s="5"/>
      <c r="E11" s="16"/>
      <c r="F11" s="20" t="str">
        <f>"F"&amp;E19</f>
        <v>F22</v>
      </c>
      <c r="G11" s="21" t="str">
        <f>"G"&amp;E19</f>
        <v>G22</v>
      </c>
    </row>
    <row r="12" spans="1:7" x14ac:dyDescent="0.2">
      <c r="A12" s="16" t="s">
        <v>17</v>
      </c>
      <c r="B12" s="16"/>
      <c r="C12" s="19">
        <f ca="1">SLOPE(INDIRECT($G$11):G992,INDIRECT($F$11):F992)</f>
        <v>6.9312133179343084E-6</v>
      </c>
      <c r="D12" s="5"/>
      <c r="E12" s="16"/>
    </row>
    <row r="13" spans="1:7" x14ac:dyDescent="0.2">
      <c r="A13" s="16" t="s">
        <v>19</v>
      </c>
      <c r="B13" s="16"/>
      <c r="C13" s="5" t="s">
        <v>14</v>
      </c>
      <c r="D13" s="5"/>
      <c r="E13" s="16"/>
    </row>
    <row r="14" spans="1:7" x14ac:dyDescent="0.2">
      <c r="A14" s="16"/>
      <c r="B14" s="16"/>
      <c r="C14" s="16"/>
      <c r="D14" s="16"/>
      <c r="E14" s="16"/>
    </row>
    <row r="15" spans="1:7" x14ac:dyDescent="0.2">
      <c r="A15" s="22" t="s">
        <v>18</v>
      </c>
      <c r="B15" s="16"/>
      <c r="C15" s="23">
        <f ca="1">(C7+C11)+(C8+C12)*INT(MAX(F21:F3533))</f>
        <v>55828.876009189371</v>
      </c>
      <c r="D15" s="24" t="s">
        <v>39</v>
      </c>
      <c r="E15" s="25">
        <f ca="1">TODAY()+15018.5-B9/24</f>
        <v>60094.5</v>
      </c>
    </row>
    <row r="16" spans="1:7" x14ac:dyDescent="0.2">
      <c r="A16" s="26" t="s">
        <v>4</v>
      </c>
      <c r="B16" s="16"/>
      <c r="C16" s="27">
        <f ca="1">+C8+C12</f>
        <v>0.90565093121331797</v>
      </c>
      <c r="D16" s="24" t="s">
        <v>40</v>
      </c>
      <c r="E16" s="25">
        <f ca="1">ROUND(2*(E15-C15)/C16,0)/2+1</f>
        <v>4711</v>
      </c>
    </row>
    <row r="17" spans="1:17" ht="13.5" thickBot="1" x14ac:dyDescent="0.25">
      <c r="A17" s="24" t="s">
        <v>35</v>
      </c>
      <c r="B17" s="16"/>
      <c r="C17" s="16">
        <f>COUNT(C21:C2191)</f>
        <v>9</v>
      </c>
      <c r="D17" s="24" t="s">
        <v>41</v>
      </c>
      <c r="E17" s="28">
        <f ca="1">+C15+C16*E16-15018.5-C9/24</f>
        <v>45077.293379468647</v>
      </c>
    </row>
    <row r="18" spans="1:17" x14ac:dyDescent="0.2">
      <c r="A18" s="26" t="s">
        <v>5</v>
      </c>
      <c r="B18" s="16"/>
      <c r="C18" s="29">
        <f ca="1">+C15</f>
        <v>55828.876009189371</v>
      </c>
      <c r="D18" s="30">
        <f ca="1">+C16</f>
        <v>0.90565093121331797</v>
      </c>
      <c r="E18" s="31" t="s">
        <v>42</v>
      </c>
    </row>
    <row r="19" spans="1:17" ht="13.5" thickTop="1" x14ac:dyDescent="0.2">
      <c r="A19" s="32" t="s">
        <v>43</v>
      </c>
      <c r="E19" s="33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31</v>
      </c>
      <c r="J20" s="9" t="s">
        <v>48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14">
        <f>+C4</f>
        <v>38238.464999999997</v>
      </c>
      <c r="D21" s="14" t="s">
        <v>14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-4.7027766900692006E-2</v>
      </c>
      <c r="Q21" s="2">
        <f t="shared" ref="Q21:Q29" si="4">+C21-15018.5</f>
        <v>23219.964999999997</v>
      </c>
    </row>
    <row r="22" spans="1:17" x14ac:dyDescent="0.2">
      <c r="A22" s="10" t="s">
        <v>29</v>
      </c>
      <c r="B22" s="11" t="s">
        <v>30</v>
      </c>
      <c r="C22" s="15">
        <v>51799.638299999999</v>
      </c>
      <c r="D22" s="15">
        <v>3.0000000000000001E-3</v>
      </c>
      <c r="E22">
        <f t="shared" si="0"/>
        <v>14974.066299782256</v>
      </c>
      <c r="F22">
        <f t="shared" si="1"/>
        <v>14974</v>
      </c>
      <c r="G22">
        <f t="shared" si="2"/>
        <v>6.0044000005291309E-2</v>
      </c>
      <c r="I22">
        <f>+G22</f>
        <v>6.0044000005291309E-2</v>
      </c>
      <c r="O22">
        <f t="shared" ca="1" si="3"/>
        <v>5.6760221322056326E-2</v>
      </c>
      <c r="Q22" s="2">
        <f t="shared" si="4"/>
        <v>36781.138299999999</v>
      </c>
    </row>
    <row r="23" spans="1:17" x14ac:dyDescent="0.2">
      <c r="A23" s="10" t="s">
        <v>29</v>
      </c>
      <c r="B23" s="11" t="s">
        <v>30</v>
      </c>
      <c r="C23" s="15">
        <v>51848.540500000003</v>
      </c>
      <c r="D23" s="15">
        <v>6.7000000000000002E-3</v>
      </c>
      <c r="E23">
        <f t="shared" si="0"/>
        <v>15028.063455397492</v>
      </c>
      <c r="F23">
        <f t="shared" si="1"/>
        <v>15028</v>
      </c>
      <c r="G23">
        <f t="shared" si="2"/>
        <v>5.7468000006338116E-2</v>
      </c>
      <c r="I23">
        <f>+G23</f>
        <v>5.7468000006338116E-2</v>
      </c>
      <c r="O23">
        <f t="shared" ca="1" si="3"/>
        <v>5.7134506841224786E-2</v>
      </c>
      <c r="Q23" s="2">
        <f t="shared" si="4"/>
        <v>36830.040500000003</v>
      </c>
    </row>
    <row r="24" spans="1:17" x14ac:dyDescent="0.2">
      <c r="A24" s="38" t="s">
        <v>46</v>
      </c>
      <c r="B24" s="39" t="s">
        <v>30</v>
      </c>
      <c r="C24" s="38">
        <v>51899.25664</v>
      </c>
      <c r="D24" s="38">
        <v>1.5E-3</v>
      </c>
      <c r="E24">
        <f t="shared" si="0"/>
        <v>15084.063539315672</v>
      </c>
      <c r="F24">
        <f t="shared" si="1"/>
        <v>15084</v>
      </c>
      <c r="G24">
        <f t="shared" si="2"/>
        <v>5.7544000002963003E-2</v>
      </c>
      <c r="J24">
        <f>+G24</f>
        <v>5.7544000002963003E-2</v>
      </c>
      <c r="O24">
        <f t="shared" ca="1" si="3"/>
        <v>5.7522654787029101E-2</v>
      </c>
      <c r="Q24" s="2">
        <f t="shared" si="4"/>
        <v>36880.75664</v>
      </c>
    </row>
    <row r="25" spans="1:17" x14ac:dyDescent="0.2">
      <c r="A25" s="16" t="s">
        <v>36</v>
      </c>
      <c r="B25" s="5" t="s">
        <v>30</v>
      </c>
      <c r="C25" s="14">
        <v>52548.605000000003</v>
      </c>
      <c r="D25" s="14">
        <v>2E-3</v>
      </c>
      <c r="E25">
        <f t="shared" si="0"/>
        <v>15801.065319264531</v>
      </c>
      <c r="F25">
        <f t="shared" si="1"/>
        <v>15801</v>
      </c>
      <c r="G25">
        <f t="shared" si="2"/>
        <v>5.9156000010261778E-2</v>
      </c>
      <c r="I25">
        <f>+G25</f>
        <v>5.9156000010261778E-2</v>
      </c>
      <c r="O25">
        <f t="shared" ca="1" si="3"/>
        <v>6.2492334735988003E-2</v>
      </c>
      <c r="Q25" s="2">
        <f t="shared" si="4"/>
        <v>37530.105000000003</v>
      </c>
    </row>
    <row r="26" spans="1:17" x14ac:dyDescent="0.2">
      <c r="A26" s="12" t="s">
        <v>33</v>
      </c>
      <c r="B26" s="13"/>
      <c r="C26" s="14">
        <v>53303.464899999999</v>
      </c>
      <c r="D26" s="14">
        <v>1E-3</v>
      </c>
      <c r="E26">
        <f t="shared" si="0"/>
        <v>16634.571531418529</v>
      </c>
      <c r="F26">
        <f t="shared" si="1"/>
        <v>16634.5</v>
      </c>
      <c r="G26">
        <f t="shared" si="2"/>
        <v>6.4782000001287088E-2</v>
      </c>
      <c r="I26">
        <f>+G26</f>
        <v>6.4782000001287088E-2</v>
      </c>
      <c r="O26">
        <f t="shared" ca="1" si="3"/>
        <v>6.8269501036486241E-2</v>
      </c>
      <c r="Q26" s="2">
        <f t="shared" si="4"/>
        <v>38284.964899999999</v>
      </c>
    </row>
    <row r="27" spans="1:17" x14ac:dyDescent="0.2">
      <c r="A27" s="34" t="s">
        <v>44</v>
      </c>
      <c r="B27" s="5" t="s">
        <v>30</v>
      </c>
      <c r="C27" s="35">
        <v>54784.664299999997</v>
      </c>
      <c r="D27" s="35">
        <v>5.0000000000000001E-4</v>
      </c>
      <c r="E27">
        <f t="shared" si="0"/>
        <v>18270.09211124901</v>
      </c>
      <c r="F27">
        <f t="shared" si="1"/>
        <v>18270</v>
      </c>
      <c r="G27">
        <f t="shared" si="2"/>
        <v>8.3420000002661254E-2</v>
      </c>
      <c r="I27">
        <f>+G27</f>
        <v>8.3420000002661254E-2</v>
      </c>
      <c r="O27">
        <f t="shared" ca="1" si="3"/>
        <v>7.9605500417967809E-2</v>
      </c>
      <c r="Q27" s="2">
        <f t="shared" si="4"/>
        <v>39766.164299999997</v>
      </c>
    </row>
    <row r="28" spans="1:17" x14ac:dyDescent="0.2">
      <c r="A28" s="36" t="s">
        <v>45</v>
      </c>
      <c r="B28" s="37" t="s">
        <v>30</v>
      </c>
      <c r="C28" s="36">
        <v>55158.696000000004</v>
      </c>
      <c r="D28" s="36">
        <v>2.9999999999999997E-4</v>
      </c>
      <c r="E28">
        <f t="shared" si="0"/>
        <v>18683.092915096888</v>
      </c>
      <c r="F28">
        <f t="shared" si="1"/>
        <v>18683</v>
      </c>
      <c r="G28">
        <f t="shared" si="2"/>
        <v>8.4148000001732726E-2</v>
      </c>
      <c r="I28">
        <f>+G28</f>
        <v>8.4148000001732726E-2</v>
      </c>
      <c r="O28">
        <f t="shared" ca="1" si="3"/>
        <v>8.246809151827468E-2</v>
      </c>
      <c r="Q28" s="2">
        <f t="shared" si="4"/>
        <v>40140.196000000004</v>
      </c>
    </row>
    <row r="29" spans="1:17" x14ac:dyDescent="0.2">
      <c r="A29" s="38" t="s">
        <v>47</v>
      </c>
      <c r="B29" s="39" t="s">
        <v>30</v>
      </c>
      <c r="C29" s="38">
        <v>55828.873699999996</v>
      </c>
      <c r="D29" s="38">
        <v>6.9999999999999999E-4</v>
      </c>
      <c r="E29">
        <f t="shared" si="0"/>
        <v>19423.094173869646</v>
      </c>
      <c r="F29">
        <f t="shared" si="1"/>
        <v>19423</v>
      </c>
      <c r="G29">
        <f t="shared" si="2"/>
        <v>8.5288000002037734E-2</v>
      </c>
      <c r="I29">
        <f>+G29</f>
        <v>8.5288000002037734E-2</v>
      </c>
      <c r="O29">
        <f t="shared" ca="1" si="3"/>
        <v>8.7597189373546061E-2</v>
      </c>
      <c r="Q29" s="2">
        <f t="shared" si="4"/>
        <v>40810.373699999996</v>
      </c>
    </row>
    <row r="30" spans="1:17" x14ac:dyDescent="0.2">
      <c r="D30" s="5"/>
      <c r="Q30" s="2"/>
    </row>
    <row r="31" spans="1:17" x14ac:dyDescent="0.2">
      <c r="D31" s="5"/>
      <c r="Q31" s="2"/>
    </row>
    <row r="32" spans="1:17" x14ac:dyDescent="0.2">
      <c r="D32" s="5"/>
      <c r="Q32" s="2"/>
    </row>
    <row r="33" spans="4:17" x14ac:dyDescent="0.2">
      <c r="D33" s="5"/>
      <c r="Q33" s="2"/>
    </row>
    <row r="34" spans="4:17" x14ac:dyDescent="0.2">
      <c r="D34" s="5"/>
    </row>
    <row r="35" spans="4:17" x14ac:dyDescent="0.2">
      <c r="D35" s="5"/>
    </row>
    <row r="36" spans="4:17" x14ac:dyDescent="0.2">
      <c r="D36" s="5"/>
    </row>
    <row r="37" spans="4:17" x14ac:dyDescent="0.2">
      <c r="D37" s="5"/>
    </row>
    <row r="38" spans="4:17" x14ac:dyDescent="0.2">
      <c r="D38" s="5"/>
    </row>
    <row r="39" spans="4:17" x14ac:dyDescent="0.2">
      <c r="D39" s="5"/>
    </row>
    <row r="40" spans="4:17" x14ac:dyDescent="0.2">
      <c r="D40" s="5"/>
    </row>
    <row r="41" spans="4:17" x14ac:dyDescent="0.2">
      <c r="D41" s="5"/>
    </row>
    <row r="42" spans="4:17" x14ac:dyDescent="0.2">
      <c r="D42" s="5"/>
    </row>
    <row r="43" spans="4:17" x14ac:dyDescent="0.2">
      <c r="D43" s="5"/>
    </row>
    <row r="44" spans="4:17" x14ac:dyDescent="0.2">
      <c r="D44" s="5"/>
    </row>
    <row r="45" spans="4:17" x14ac:dyDescent="0.2">
      <c r="D45" s="5"/>
    </row>
    <row r="46" spans="4:17" x14ac:dyDescent="0.2">
      <c r="D46" s="5"/>
    </row>
    <row r="47" spans="4:17" x14ac:dyDescent="0.2">
      <c r="D47" s="5"/>
    </row>
    <row r="48" spans="4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0"/>
  <sheetViews>
    <sheetView workbookViewId="0">
      <selection activeCell="E11" sqref="E11:E18"/>
    </sheetView>
  </sheetViews>
  <sheetFormatPr defaultRowHeight="12.75" x14ac:dyDescent="0.2"/>
  <cols>
    <col min="1" max="1" width="19.7109375" style="14" customWidth="1"/>
    <col min="2" max="2" width="4.42578125" style="16" customWidth="1"/>
    <col min="3" max="3" width="12.7109375" style="1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0" t="s">
        <v>49</v>
      </c>
      <c r="I1" s="41" t="s">
        <v>50</v>
      </c>
      <c r="J1" s="42" t="s">
        <v>51</v>
      </c>
    </row>
    <row r="2" spans="1:16" x14ac:dyDescent="0.2">
      <c r="I2" s="43" t="s">
        <v>52</v>
      </c>
      <c r="J2" s="44" t="s">
        <v>53</v>
      </c>
    </row>
    <row r="3" spans="1:16" x14ac:dyDescent="0.2">
      <c r="A3" s="45" t="s">
        <v>54</v>
      </c>
      <c r="I3" s="43" t="s">
        <v>55</v>
      </c>
      <c r="J3" s="44" t="s">
        <v>56</v>
      </c>
    </row>
    <row r="4" spans="1:16" x14ac:dyDescent="0.2">
      <c r="I4" s="43" t="s">
        <v>57</v>
      </c>
      <c r="J4" s="44" t="s">
        <v>56</v>
      </c>
    </row>
    <row r="5" spans="1:16" ht="13.5" thickBot="1" x14ac:dyDescent="0.25">
      <c r="I5" s="46" t="s">
        <v>58</v>
      </c>
      <c r="J5" s="47" t="s">
        <v>59</v>
      </c>
    </row>
    <row r="10" spans="1:16" ht="13.5" thickBot="1" x14ac:dyDescent="0.25"/>
    <row r="11" spans="1:16" ht="12.75" customHeight="1" thickBot="1" x14ac:dyDescent="0.25">
      <c r="A11" s="14" t="str">
        <f t="shared" ref="A11:A18" si="0">P11</f>
        <v>IBVS 5287 </v>
      </c>
      <c r="B11" s="5" t="str">
        <f t="shared" ref="B11:B18" si="1">IF(H11=INT(H11),"I","II")</f>
        <v>I</v>
      </c>
      <c r="C11" s="14">
        <f t="shared" ref="C11:C18" si="2">1*G11</f>
        <v>51799.638299999999</v>
      </c>
      <c r="D11" s="16" t="str">
        <f t="shared" ref="D11:D18" si="3">VLOOKUP(F11,I$1:J$5,2,FALSE)</f>
        <v>vis</v>
      </c>
      <c r="E11" s="48">
        <f>VLOOKUP(C11,Active!C$21:E$973,3,FALSE)</f>
        <v>14974.066299782256</v>
      </c>
      <c r="F11" s="5" t="s">
        <v>58</v>
      </c>
      <c r="G11" s="16" t="str">
        <f t="shared" ref="G11:G18" si="4">MID(I11,3,LEN(I11)-3)</f>
        <v>51799.6383</v>
      </c>
      <c r="H11" s="14">
        <f t="shared" ref="H11:H18" si="5">1*K11</f>
        <v>-774</v>
      </c>
      <c r="I11" s="49" t="s">
        <v>60</v>
      </c>
      <c r="J11" s="50" t="s">
        <v>61</v>
      </c>
      <c r="K11" s="49">
        <v>-774</v>
      </c>
      <c r="L11" s="49" t="s">
        <v>62</v>
      </c>
      <c r="M11" s="50" t="s">
        <v>63</v>
      </c>
      <c r="N11" s="50" t="s">
        <v>64</v>
      </c>
      <c r="O11" s="51" t="s">
        <v>65</v>
      </c>
      <c r="P11" s="52" t="s">
        <v>66</v>
      </c>
    </row>
    <row r="12" spans="1:16" ht="12.75" customHeight="1" thickBot="1" x14ac:dyDescent="0.25">
      <c r="A12" s="14" t="str">
        <f t="shared" si="0"/>
        <v>IBVS 5287 </v>
      </c>
      <c r="B12" s="5" t="str">
        <f t="shared" si="1"/>
        <v>I</v>
      </c>
      <c r="C12" s="14">
        <f t="shared" si="2"/>
        <v>51848.540500000003</v>
      </c>
      <c r="D12" s="16" t="str">
        <f t="shared" si="3"/>
        <v>vis</v>
      </c>
      <c r="E12" s="48">
        <f>VLOOKUP(C12,Active!C$21:E$973,3,FALSE)</f>
        <v>15028.063455397492</v>
      </c>
      <c r="F12" s="5" t="s">
        <v>58</v>
      </c>
      <c r="G12" s="16" t="str">
        <f t="shared" si="4"/>
        <v>51848.5405</v>
      </c>
      <c r="H12" s="14">
        <f t="shared" si="5"/>
        <v>-720</v>
      </c>
      <c r="I12" s="49" t="s">
        <v>67</v>
      </c>
      <c r="J12" s="50" t="s">
        <v>68</v>
      </c>
      <c r="K12" s="49">
        <v>-720</v>
      </c>
      <c r="L12" s="49" t="s">
        <v>69</v>
      </c>
      <c r="M12" s="50" t="s">
        <v>63</v>
      </c>
      <c r="N12" s="50" t="s">
        <v>64</v>
      </c>
      <c r="O12" s="51" t="s">
        <v>65</v>
      </c>
      <c r="P12" s="52" t="s">
        <v>66</v>
      </c>
    </row>
    <row r="13" spans="1:16" ht="12.75" customHeight="1" thickBot="1" x14ac:dyDescent="0.25">
      <c r="A13" s="14" t="str">
        <f t="shared" si="0"/>
        <v>OEJV 0074 </v>
      </c>
      <c r="B13" s="5" t="str">
        <f t="shared" si="1"/>
        <v>I</v>
      </c>
      <c r="C13" s="14">
        <f t="shared" si="2"/>
        <v>51899.25664</v>
      </c>
      <c r="D13" s="16" t="str">
        <f t="shared" si="3"/>
        <v>vis</v>
      </c>
      <c r="E13" s="48">
        <f>VLOOKUP(C13,Active!C$21:E$973,3,FALSE)</f>
        <v>15084.063539315672</v>
      </c>
      <c r="F13" s="5" t="s">
        <v>58</v>
      </c>
      <c r="G13" s="16" t="str">
        <f t="shared" si="4"/>
        <v>51899.25664</v>
      </c>
      <c r="H13" s="14">
        <f t="shared" si="5"/>
        <v>-664</v>
      </c>
      <c r="I13" s="49" t="s">
        <v>70</v>
      </c>
      <c r="J13" s="50" t="s">
        <v>71</v>
      </c>
      <c r="K13" s="49">
        <v>-664</v>
      </c>
      <c r="L13" s="49" t="s">
        <v>72</v>
      </c>
      <c r="M13" s="50" t="s">
        <v>73</v>
      </c>
      <c r="N13" s="50" t="s">
        <v>74</v>
      </c>
      <c r="O13" s="51" t="s">
        <v>75</v>
      </c>
      <c r="P13" s="52" t="s">
        <v>76</v>
      </c>
    </row>
    <row r="14" spans="1:16" ht="12.75" customHeight="1" thickBot="1" x14ac:dyDescent="0.25">
      <c r="A14" s="14" t="str">
        <f t="shared" si="0"/>
        <v> BBS 129 </v>
      </c>
      <c r="B14" s="5" t="str">
        <f t="shared" si="1"/>
        <v>I</v>
      </c>
      <c r="C14" s="14">
        <f t="shared" si="2"/>
        <v>52548.605000000003</v>
      </c>
      <c r="D14" s="16" t="str">
        <f t="shared" si="3"/>
        <v>vis</v>
      </c>
      <c r="E14" s="48">
        <f>VLOOKUP(C14,Active!C$21:E$973,3,FALSE)</f>
        <v>15801.065319264531</v>
      </c>
      <c r="F14" s="5" t="s">
        <v>58</v>
      </c>
      <c r="G14" s="16" t="str">
        <f t="shared" si="4"/>
        <v>52548.605</v>
      </c>
      <c r="H14" s="14">
        <f t="shared" si="5"/>
        <v>53</v>
      </c>
      <c r="I14" s="49" t="s">
        <v>77</v>
      </c>
      <c r="J14" s="50" t="s">
        <v>78</v>
      </c>
      <c r="K14" s="49">
        <v>53</v>
      </c>
      <c r="L14" s="49" t="s">
        <v>79</v>
      </c>
      <c r="M14" s="50" t="s">
        <v>63</v>
      </c>
      <c r="N14" s="50" t="s">
        <v>64</v>
      </c>
      <c r="O14" s="51" t="s">
        <v>80</v>
      </c>
      <c r="P14" s="51" t="s">
        <v>81</v>
      </c>
    </row>
    <row r="15" spans="1:16" ht="12.75" customHeight="1" thickBot="1" x14ac:dyDescent="0.25">
      <c r="A15" s="14" t="str">
        <f t="shared" si="0"/>
        <v>BAVM 173 </v>
      </c>
      <c r="B15" s="5" t="str">
        <f t="shared" si="1"/>
        <v>II</v>
      </c>
      <c r="C15" s="14">
        <f t="shared" si="2"/>
        <v>53303.464899999999</v>
      </c>
      <c r="D15" s="16" t="str">
        <f t="shared" si="3"/>
        <v>vis</v>
      </c>
      <c r="E15" s="48">
        <f>VLOOKUP(C15,Active!C$21:E$973,3,FALSE)</f>
        <v>16634.571531418529</v>
      </c>
      <c r="F15" s="5" t="s">
        <v>58</v>
      </c>
      <c r="G15" s="16" t="str">
        <f t="shared" si="4"/>
        <v>53303.4649</v>
      </c>
      <c r="H15" s="14">
        <f t="shared" si="5"/>
        <v>886.5</v>
      </c>
      <c r="I15" s="49" t="s">
        <v>82</v>
      </c>
      <c r="J15" s="50" t="s">
        <v>83</v>
      </c>
      <c r="K15" s="49">
        <v>886.5</v>
      </c>
      <c r="L15" s="49" t="s">
        <v>84</v>
      </c>
      <c r="M15" s="50" t="s">
        <v>63</v>
      </c>
      <c r="N15" s="50" t="s">
        <v>85</v>
      </c>
      <c r="O15" s="51" t="s">
        <v>86</v>
      </c>
      <c r="P15" s="52" t="s">
        <v>87</v>
      </c>
    </row>
    <row r="16" spans="1:16" ht="12.75" customHeight="1" thickBot="1" x14ac:dyDescent="0.25">
      <c r="A16" s="14" t="str">
        <f t="shared" si="0"/>
        <v>IBVS 5871 </v>
      </c>
      <c r="B16" s="5" t="str">
        <f t="shared" si="1"/>
        <v>I</v>
      </c>
      <c r="C16" s="14">
        <f t="shared" si="2"/>
        <v>54784.664299999997</v>
      </c>
      <c r="D16" s="16" t="str">
        <f t="shared" si="3"/>
        <v>vis</v>
      </c>
      <c r="E16" s="48">
        <f>VLOOKUP(C16,Active!C$21:E$973,3,FALSE)</f>
        <v>18270.09211124901</v>
      </c>
      <c r="F16" s="5" t="s">
        <v>58</v>
      </c>
      <c r="G16" s="16" t="str">
        <f t="shared" si="4"/>
        <v>54784.6643</v>
      </c>
      <c r="H16" s="14">
        <f t="shared" si="5"/>
        <v>2522</v>
      </c>
      <c r="I16" s="49" t="s">
        <v>88</v>
      </c>
      <c r="J16" s="50" t="s">
        <v>89</v>
      </c>
      <c r="K16" s="49" t="s">
        <v>90</v>
      </c>
      <c r="L16" s="49" t="s">
        <v>91</v>
      </c>
      <c r="M16" s="50" t="s">
        <v>73</v>
      </c>
      <c r="N16" s="50" t="s">
        <v>58</v>
      </c>
      <c r="O16" s="51" t="s">
        <v>80</v>
      </c>
      <c r="P16" s="52" t="s">
        <v>92</v>
      </c>
    </row>
    <row r="17" spans="1:16" ht="12.75" customHeight="1" thickBot="1" x14ac:dyDescent="0.25">
      <c r="A17" s="14" t="str">
        <f t="shared" si="0"/>
        <v>IBVS 5920 </v>
      </c>
      <c r="B17" s="5" t="str">
        <f t="shared" si="1"/>
        <v>I</v>
      </c>
      <c r="C17" s="14">
        <f t="shared" si="2"/>
        <v>55158.696000000004</v>
      </c>
      <c r="D17" s="16" t="str">
        <f t="shared" si="3"/>
        <v>vis</v>
      </c>
      <c r="E17" s="48">
        <f>VLOOKUP(C17,Active!C$21:E$973,3,FALSE)</f>
        <v>18683.092915096888</v>
      </c>
      <c r="F17" s="5" t="s">
        <v>58</v>
      </c>
      <c r="G17" s="16" t="str">
        <f t="shared" si="4"/>
        <v>55158.696</v>
      </c>
      <c r="H17" s="14">
        <f t="shared" si="5"/>
        <v>2935</v>
      </c>
      <c r="I17" s="49" t="s">
        <v>93</v>
      </c>
      <c r="J17" s="50" t="s">
        <v>94</v>
      </c>
      <c r="K17" s="49" t="s">
        <v>95</v>
      </c>
      <c r="L17" s="49" t="s">
        <v>96</v>
      </c>
      <c r="M17" s="50" t="s">
        <v>73</v>
      </c>
      <c r="N17" s="50" t="s">
        <v>58</v>
      </c>
      <c r="O17" s="51" t="s">
        <v>80</v>
      </c>
      <c r="P17" s="52" t="s">
        <v>97</v>
      </c>
    </row>
    <row r="18" spans="1:16" ht="12.75" customHeight="1" thickBot="1" x14ac:dyDescent="0.25">
      <c r="A18" s="14" t="str">
        <f t="shared" si="0"/>
        <v>IBVS 6011 </v>
      </c>
      <c r="B18" s="5" t="str">
        <f t="shared" si="1"/>
        <v>I</v>
      </c>
      <c r="C18" s="14">
        <f t="shared" si="2"/>
        <v>55828.873699999996</v>
      </c>
      <c r="D18" s="16" t="str">
        <f t="shared" si="3"/>
        <v>vis</v>
      </c>
      <c r="E18" s="48">
        <f>VLOOKUP(C18,Active!C$21:E$973,3,FALSE)</f>
        <v>19423.094173869646</v>
      </c>
      <c r="F18" s="5" t="s">
        <v>58</v>
      </c>
      <c r="G18" s="16" t="str">
        <f t="shared" si="4"/>
        <v>55828.8737</v>
      </c>
      <c r="H18" s="14">
        <f t="shared" si="5"/>
        <v>3675</v>
      </c>
      <c r="I18" s="49" t="s">
        <v>98</v>
      </c>
      <c r="J18" s="50" t="s">
        <v>99</v>
      </c>
      <c r="K18" s="49" t="s">
        <v>100</v>
      </c>
      <c r="L18" s="49" t="s">
        <v>101</v>
      </c>
      <c r="M18" s="50" t="s">
        <v>73</v>
      </c>
      <c r="N18" s="50" t="s">
        <v>58</v>
      </c>
      <c r="O18" s="51" t="s">
        <v>80</v>
      </c>
      <c r="P18" s="52" t="s">
        <v>102</v>
      </c>
    </row>
    <row r="19" spans="1:16" x14ac:dyDescent="0.2">
      <c r="B19" s="5"/>
      <c r="F19" s="5"/>
    </row>
    <row r="20" spans="1:16" x14ac:dyDescent="0.2">
      <c r="B20" s="5"/>
      <c r="F20" s="5"/>
    </row>
    <row r="21" spans="1:16" x14ac:dyDescent="0.2">
      <c r="B21" s="5"/>
      <c r="F21" s="5"/>
    </row>
    <row r="22" spans="1:16" x14ac:dyDescent="0.2">
      <c r="B22" s="5"/>
      <c r="F22" s="5"/>
    </row>
    <row r="23" spans="1:16" x14ac:dyDescent="0.2">
      <c r="B23" s="5"/>
      <c r="F23" s="5"/>
    </row>
    <row r="24" spans="1:16" x14ac:dyDescent="0.2">
      <c r="B24" s="5"/>
      <c r="F24" s="5"/>
    </row>
    <row r="25" spans="1:16" x14ac:dyDescent="0.2">
      <c r="B25" s="5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</sheetData>
  <phoneticPr fontId="8" type="noConversion"/>
  <hyperlinks>
    <hyperlink ref="A3" r:id="rId1"/>
    <hyperlink ref="P11" r:id="rId2" display="http://www.konkoly.hu/cgi-bin/IBVS?5287"/>
    <hyperlink ref="P12" r:id="rId3" display="http://www.konkoly.hu/cgi-bin/IBVS?5287"/>
    <hyperlink ref="P13" r:id="rId4" display="http://var.astro.cz/oejv/issues/oejv0074.pdf"/>
    <hyperlink ref="P15" r:id="rId5" display="http://www.bav-astro.de/sfs/BAVM_link.php?BAVMnr=173"/>
    <hyperlink ref="P16" r:id="rId6" display="http://www.konkoly.hu/cgi-bin/IBVS?5871"/>
    <hyperlink ref="P17" r:id="rId7" display="http://www.konkoly.hu/cgi-bin/IBVS?5920"/>
    <hyperlink ref="P18" r:id="rId8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2023-05-30T08:35:12Z</dcterms:modified>
</cp:coreProperties>
</file>