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642DD4B-81A7-4624-A865-DF66550C4E5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G28" i="1" l="1"/>
  <c r="K28" i="1"/>
  <c r="Q28" i="1"/>
  <c r="E28" i="1"/>
  <c r="F28" i="1"/>
  <c r="U28" i="1"/>
  <c r="D9" i="1"/>
  <c r="C9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D11" i="1"/>
  <c r="P23" i="1" s="1"/>
  <c r="R23" i="1" s="1"/>
  <c r="T23" i="1" s="1"/>
  <c r="D12" i="1"/>
  <c r="P27" i="1" s="1"/>
  <c r="R27" i="1" s="1"/>
  <c r="T27" i="1" s="1"/>
  <c r="D13" i="1"/>
  <c r="E21" i="1"/>
  <c r="F21" i="1"/>
  <c r="U21" i="1"/>
  <c r="E22" i="1"/>
  <c r="F22" i="1"/>
  <c r="G22" i="1"/>
  <c r="P26" i="1"/>
  <c r="R26" i="1" s="1"/>
  <c r="T26" i="1" s="1"/>
  <c r="G21" i="1"/>
  <c r="Q21" i="1"/>
  <c r="Q26" i="1"/>
  <c r="Q27" i="1"/>
  <c r="G12" i="2"/>
  <c r="C12" i="2"/>
  <c r="E12" i="2"/>
  <c r="G13" i="2"/>
  <c r="C13" i="2"/>
  <c r="E13" i="2"/>
  <c r="G16" i="2"/>
  <c r="C16" i="2"/>
  <c r="E16" i="2"/>
  <c r="G14" i="2"/>
  <c r="C14" i="2"/>
  <c r="E14" i="2"/>
  <c r="G17" i="2"/>
  <c r="C17" i="2"/>
  <c r="E17" i="2"/>
  <c r="G15" i="2"/>
  <c r="C15" i="2"/>
  <c r="E15" i="2"/>
  <c r="G11" i="2"/>
  <c r="C11" i="2"/>
  <c r="E11" i="2"/>
  <c r="H15" i="2"/>
  <c r="B15" i="2"/>
  <c r="D15" i="2"/>
  <c r="A15" i="2"/>
  <c r="H17" i="2"/>
  <c r="D17" i="2"/>
  <c r="B17" i="2"/>
  <c r="A17" i="2"/>
  <c r="H14" i="2"/>
  <c r="B14" i="2"/>
  <c r="D14" i="2"/>
  <c r="A14" i="2"/>
  <c r="H16" i="2"/>
  <c r="D16" i="2"/>
  <c r="B16" i="2"/>
  <c r="A16" i="2"/>
  <c r="H13" i="2"/>
  <c r="B13" i="2"/>
  <c r="D13" i="2"/>
  <c r="A13" i="2"/>
  <c r="H12" i="2"/>
  <c r="D12" i="2"/>
  <c r="B12" i="2"/>
  <c r="A12" i="2"/>
  <c r="H11" i="2"/>
  <c r="B11" i="2"/>
  <c r="D11" i="2"/>
  <c r="A11" i="2"/>
  <c r="Q25" i="1"/>
  <c r="F16" i="1"/>
  <c r="F17" i="1" s="1"/>
  <c r="C17" i="1"/>
  <c r="Q24" i="1"/>
  <c r="U22" i="1"/>
  <c r="Q22" i="1"/>
  <c r="Q23" i="1"/>
  <c r="W15" i="1"/>
  <c r="W5" i="1"/>
  <c r="W13" i="1"/>
  <c r="W16" i="1"/>
  <c r="W14" i="1"/>
  <c r="W12" i="1"/>
  <c r="P25" i="1"/>
  <c r="R25" i="1" s="1"/>
  <c r="T25" i="1" s="1"/>
  <c r="P21" i="1"/>
  <c r="R21" i="1" s="1"/>
  <c r="T21" i="1" s="1"/>
  <c r="W2" i="1"/>
  <c r="P22" i="1"/>
  <c r="R22" i="1" s="1"/>
  <c r="T22" i="1" s="1"/>
  <c r="W8" i="1"/>
  <c r="W11" i="1"/>
  <c r="P24" i="1"/>
  <c r="R24" i="1" s="1"/>
  <c r="T24" i="1" s="1"/>
  <c r="W7" i="1"/>
  <c r="P28" i="1"/>
  <c r="R28" i="1" s="1"/>
  <c r="T28" i="1" s="1"/>
  <c r="W17" i="1"/>
  <c r="D15" i="1"/>
  <c r="C19" i="1" s="1"/>
  <c r="C11" i="1"/>
  <c r="C12" i="1"/>
  <c r="C16" i="1" l="1"/>
  <c r="D18" i="1" s="1"/>
  <c r="O23" i="1"/>
  <c r="O25" i="1"/>
  <c r="O24" i="1"/>
  <c r="O28" i="1"/>
  <c r="O27" i="1"/>
  <c r="O26" i="1"/>
  <c r="C15" i="1"/>
  <c r="E14" i="1"/>
  <c r="D16" i="1"/>
  <c r="D19" i="1" s="1"/>
  <c r="W10" i="1"/>
  <c r="W9" i="1"/>
  <c r="W6" i="1"/>
  <c r="W3" i="1"/>
  <c r="W4" i="1"/>
  <c r="C18" i="1" l="1"/>
  <c r="F18" i="1"/>
  <c r="F19" i="1" s="1"/>
</calcChain>
</file>

<file path=xl/sharedStrings.xml><?xml version="1.0" encoding="utf-8"?>
<sst xmlns="http://schemas.openxmlformats.org/spreadsheetml/2006/main" count="138" uniqueCount="97">
  <si>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</si>
  <si>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</si>
  <si>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</si>
  <si>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</si>
  <si>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</si>
  <si>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</si>
  <si>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</si>
  <si>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</si>
  <si>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</si>
  <si>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</si>
  <si>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</si>
  <si>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</si>
  <si>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</si>
  <si>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</si>
  <si>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</si>
  <si>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</si>
  <si>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</si>
  <si>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</si>
  <si>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</si>
  <si>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</si>
  <si>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</si>
  <si>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</si>
  <si>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</si>
  <si>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</si>
  <si>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</si>
  <si>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</si>
  <si>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</si>
  <si>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</si>
  <si>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</si>
  <si>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</si>
  <si>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</si>
  <si>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</si>
  <si>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</si>
  <si>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</si>
  <si>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not avail.</t>
  </si>
  <si>
    <t>MO And / GSC 2835-1268</t>
  </si>
  <si>
    <t>From Kreiner</t>
  </si>
  <si>
    <t>IBVS 4887</t>
  </si>
  <si>
    <t>IBVS 5871</t>
  </si>
  <si>
    <t>EA/SD</t>
  </si>
  <si>
    <t>IBVS 5960</t>
  </si>
  <si>
    <t>Add cycle</t>
  </si>
  <si>
    <t>Old Cycle</t>
  </si>
  <si>
    <t>IBVS 6042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</si>
  <si>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</si>
  <si>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</si>
  <si>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</si>
  <si>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</si>
  <si>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</si>
  <si>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</si>
  <si>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</si>
  <si>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</si>
  <si>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</si>
  <si>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</si>
  <si>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</si>
  <si>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2450688.5397 </t>
  </si>
  <si>
    <t> 28.08.1997 00:57 </t>
  </si>
  <si>
    <t> 0.0020 </t>
  </si>
  <si>
    <t>E </t>
  </si>
  <si>
    <t>?</t>
  </si>
  <si>
    <t> J.Safar </t>
  </si>
  <si>
    <t>IBVS 4887 </t>
  </si>
  <si>
    <t>2450773.4726 </t>
  </si>
  <si>
    <t> 20.11.1997 23:20 </t>
  </si>
  <si>
    <t> -0.0053 </t>
  </si>
  <si>
    <t>2454821.6514 </t>
  </si>
  <si>
    <t> 21.12.2008 03:38 </t>
  </si>
  <si>
    <t> -0.0012 </t>
  </si>
  <si>
    <t>C </t>
  </si>
  <si>
    <t> R.Diethelm </t>
  </si>
  <si>
    <t>IBVS 5871 </t>
  </si>
  <si>
    <t>2455045.5863 </t>
  </si>
  <si>
    <t> 02.08.2009 02:04 </t>
  </si>
  <si>
    <t> 0.0004 </t>
  </si>
  <si>
    <t>o</t>
  </si>
  <si>
    <t> Moschner &amp; Frank </t>
  </si>
  <si>
    <t>BAVM 212 </t>
  </si>
  <si>
    <t>2455543.6483 </t>
  </si>
  <si>
    <t> 13.12.2010 03:33 </t>
  </si>
  <si>
    <t> 0.0037 </t>
  </si>
  <si>
    <t>IBVS 5960 </t>
  </si>
  <si>
    <t>2455858.3170 </t>
  </si>
  <si>
    <t> 23.10.2011 19:36 </t>
  </si>
  <si>
    <t> 0.0074 </t>
  </si>
  <si>
    <t> W.Moschner &amp; P.Frank </t>
  </si>
  <si>
    <t>BAVM 225 </t>
  </si>
  <si>
    <t>2456265.6489 </t>
  </si>
  <si>
    <t> 04.12.2012 03:34 </t>
  </si>
  <si>
    <t> 0.0123 </t>
  </si>
  <si>
    <t>IBVS 6042 </t>
  </si>
  <si>
    <t>BAD?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</si>
  <si>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</si>
  <si>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</si>
  <si>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</si>
  <si>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Linear Ephemeris =</t>
  </si>
  <si>
    <t>Quad. Ephemeris =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</si>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</sst>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6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7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7" fillId="24" borderId="17" xfId="38" applyFill="1" applyBorder="1" applyAlignment="1" applyProtection="1">
      <alignment horizontal="right" vertical="top" wrapText="1"/>
    </xf>
    <xf numFmtId="0" fontId="18" fillId="0" borderId="8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9" xfId="0" applyBorder="1" applyAlignment="1"/>
    <xf numFmtId="11" fontId="0" fillId="0" borderId="0" xfId="0" applyNumberFormat="1" applyAlignment="1"/>
    <xf numFmtId="0" fontId="0" fillId="0" borderId="20" xfId="0" applyBorder="1" applyAlignment="1"/>
    <xf numFmtId="0" fontId="12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4" fillId="0" borderId="0" xfId="0" applyFont="1" applyAlignment="1"/>
    <xf numFmtId="14" fontId="20" fillId="0" borderId="0" xfId="0" applyNumberFormat="1" applyFont="1" applyAlignment="1"/>
    <xf numFmtId="0" fontId="20" fillId="0" borderId="0" xfId="0" applyFont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35" fillId="0" borderId="0" xfId="42" applyFont="1"/>
    <xf numFmtId="0" fontId="35" fillId="0" borderId="0" xfId="42" applyFont="1" applyAlignment="1">
      <alignment horizontal="center"/>
    </xf>
    <xf numFmtId="0" fontId="35" fillId="0" borderId="0" xfId="42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MO And - O-C Diagr.</a:t>
            </a:r>
          </a:p>
        </c:rich>
      </c:tx>
      <c:layout>
        <c:manualLayout>
          <c:xMode val="edge"/>
          <c:yMode val="edge"/>
          <c:x val="0.38345864661654133"/>
          <c:y val="3.4883720930232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3953488372093023"/>
          <c:w val="0.81203007518796988"/>
          <c:h val="0.648255813953488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Active!$D$21:$D$221</c:f>
                <c:numCache>
                  <c:formatCode>General</c:formatCode>
                  <c:ptCount val="20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Active!$D$21:$D$221</c:f>
                <c:numCache>
                  <c:formatCode>General</c:formatCode>
                  <c:ptCount val="20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-939</c:v>
                </c:pt>
                <c:pt idx="1">
                  <c:v>-895</c:v>
                </c:pt>
                <c:pt idx="2">
                  <c:v>1202</c:v>
                </c:pt>
                <c:pt idx="3">
                  <c:v>1576</c:v>
                </c:pt>
                <c:pt idx="4">
                  <c:v>1950</c:v>
                </c:pt>
                <c:pt idx="5">
                  <c:v>1318</c:v>
                </c:pt>
                <c:pt idx="6">
                  <c:v>1739</c:v>
                </c:pt>
                <c:pt idx="7">
                  <c:v>2500</c:v>
                </c:pt>
              </c:numCache>
            </c:numRef>
          </c:xVal>
          <c:yVal>
            <c:numRef>
              <c:f>Active!$H$21:$H$981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5C-4EDF-82C5-A416D361D76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-939</c:v>
                </c:pt>
                <c:pt idx="1">
                  <c:v>-895</c:v>
                </c:pt>
                <c:pt idx="2">
                  <c:v>1202</c:v>
                </c:pt>
                <c:pt idx="3">
                  <c:v>1576</c:v>
                </c:pt>
                <c:pt idx="4">
                  <c:v>1950</c:v>
                </c:pt>
                <c:pt idx="5">
                  <c:v>1318</c:v>
                </c:pt>
                <c:pt idx="6">
                  <c:v>1739</c:v>
                </c:pt>
                <c:pt idx="7">
                  <c:v>2500</c:v>
                </c:pt>
              </c:numCache>
            </c:numRef>
          </c:xVal>
          <c:yVal>
            <c:numRef>
              <c:f>Active!$I$21:$I$981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5C-4EDF-82C5-A416D361D76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-939</c:v>
                </c:pt>
                <c:pt idx="1">
                  <c:v>-895</c:v>
                </c:pt>
                <c:pt idx="2">
                  <c:v>1202</c:v>
                </c:pt>
                <c:pt idx="3">
                  <c:v>1576</c:v>
                </c:pt>
                <c:pt idx="4">
                  <c:v>1950</c:v>
                </c:pt>
                <c:pt idx="5">
                  <c:v>1318</c:v>
                </c:pt>
                <c:pt idx="6">
                  <c:v>1739</c:v>
                </c:pt>
                <c:pt idx="7">
                  <c:v>2500</c:v>
                </c:pt>
              </c:numCache>
            </c:numRef>
          </c:xVal>
          <c:yVal>
            <c:numRef>
              <c:f>Active!$J$21:$J$981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5C-4EDF-82C5-A416D361D76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-939</c:v>
                </c:pt>
                <c:pt idx="1">
                  <c:v>-895</c:v>
                </c:pt>
                <c:pt idx="2">
                  <c:v>1202</c:v>
                </c:pt>
                <c:pt idx="3">
                  <c:v>1576</c:v>
                </c:pt>
                <c:pt idx="4">
                  <c:v>1950</c:v>
                </c:pt>
                <c:pt idx="5">
                  <c:v>1318</c:v>
                </c:pt>
                <c:pt idx="6">
                  <c:v>1739</c:v>
                </c:pt>
                <c:pt idx="7">
                  <c:v>2500</c:v>
                </c:pt>
              </c:numCache>
            </c:numRef>
          </c:xVal>
          <c:yVal>
            <c:numRef>
              <c:f>Active!$K$21:$K$981</c:f>
              <c:numCache>
                <c:formatCode>General</c:formatCode>
                <c:ptCount val="961"/>
                <c:pt idx="2">
                  <c:v>-1.4134999997622799E-2</c:v>
                </c:pt>
                <c:pt idx="3">
                  <c:v>-1.2080000000423752E-2</c:v>
                </c:pt>
                <c:pt idx="4">
                  <c:v>-6.3250000021071173E-3</c:v>
                </c:pt>
                <c:pt idx="5">
                  <c:v>-1.3464999996358529E-2</c:v>
                </c:pt>
                <c:pt idx="6">
                  <c:v>-9.5824999953038059E-3</c:v>
                </c:pt>
                <c:pt idx="7">
                  <c:v>-1.1189999997441191E-2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5C-4EDF-82C5-A416D361D76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-939</c:v>
                </c:pt>
                <c:pt idx="1">
                  <c:v>-895</c:v>
                </c:pt>
                <c:pt idx="2">
                  <c:v>1202</c:v>
                </c:pt>
                <c:pt idx="3">
                  <c:v>1576</c:v>
                </c:pt>
                <c:pt idx="4">
                  <c:v>1950</c:v>
                </c:pt>
                <c:pt idx="5">
                  <c:v>1318</c:v>
                </c:pt>
                <c:pt idx="6">
                  <c:v>1739</c:v>
                </c:pt>
                <c:pt idx="7">
                  <c:v>2500</c:v>
                </c:pt>
              </c:numCache>
            </c:numRef>
          </c:xVal>
          <c:yVal>
            <c:numRef>
              <c:f>Active!$L$21:$L$981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5C-4EDF-82C5-A416D361D76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-939</c:v>
                </c:pt>
                <c:pt idx="1">
                  <c:v>-895</c:v>
                </c:pt>
                <c:pt idx="2">
                  <c:v>1202</c:v>
                </c:pt>
                <c:pt idx="3">
                  <c:v>1576</c:v>
                </c:pt>
                <c:pt idx="4">
                  <c:v>1950</c:v>
                </c:pt>
                <c:pt idx="5">
                  <c:v>1318</c:v>
                </c:pt>
                <c:pt idx="6">
                  <c:v>1739</c:v>
                </c:pt>
                <c:pt idx="7">
                  <c:v>2500</c:v>
                </c:pt>
              </c:numCache>
            </c:numRef>
          </c:xVal>
          <c:yVal>
            <c:numRef>
              <c:f>Active!$M$21:$M$981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5C-4EDF-82C5-A416D361D76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plus>
            <c:minus>
              <c:numRef>
                <c:f>Active!$D$21:$D$981</c:f>
                <c:numCache>
                  <c:formatCode>General</c:formatCode>
                  <c:ptCount val="961"/>
                  <c:pt idx="0">
                    <c:v>2.8E-3</c:v>
                  </c:pt>
                  <c:pt idx="1">
                    <c:v>2.0999999999999999E-3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3.0000000000000003E-4</c:v>
                  </c:pt>
                  <c:pt idx="5">
                    <c:v>0</c:v>
                  </c:pt>
                  <c:pt idx="6">
                    <c:v>0</c:v>
                  </c:pt>
                  <c:pt idx="7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Active!$F$21:$F$981</c:f>
              <c:numCache>
                <c:formatCode>General</c:formatCode>
                <c:ptCount val="961"/>
                <c:pt idx="0">
                  <c:v>-939</c:v>
                </c:pt>
                <c:pt idx="1">
                  <c:v>-895</c:v>
                </c:pt>
                <c:pt idx="2">
                  <c:v>1202</c:v>
                </c:pt>
                <c:pt idx="3">
                  <c:v>1576</c:v>
                </c:pt>
                <c:pt idx="4">
                  <c:v>1950</c:v>
                </c:pt>
                <c:pt idx="5">
                  <c:v>1318</c:v>
                </c:pt>
                <c:pt idx="6">
                  <c:v>1739</c:v>
                </c:pt>
                <c:pt idx="7">
                  <c:v>2500</c:v>
                </c:pt>
              </c:numCache>
            </c:numRef>
          </c:xVal>
          <c:yVal>
            <c:numRef>
              <c:f>Active!$N$21:$N$981</c:f>
              <c:numCache>
                <c:formatCode>General</c:formatCode>
                <c:ptCount val="96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5C-4EDF-82C5-A416D361D76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-939</c:v>
                </c:pt>
                <c:pt idx="1">
                  <c:v>-895</c:v>
                </c:pt>
                <c:pt idx="2">
                  <c:v>1202</c:v>
                </c:pt>
                <c:pt idx="3">
                  <c:v>1576</c:v>
                </c:pt>
                <c:pt idx="4">
                  <c:v>1950</c:v>
                </c:pt>
                <c:pt idx="5">
                  <c:v>1318</c:v>
                </c:pt>
                <c:pt idx="6">
                  <c:v>1739</c:v>
                </c:pt>
                <c:pt idx="7">
                  <c:v>2500</c:v>
                </c:pt>
              </c:numCache>
            </c:numRef>
          </c:xVal>
          <c:yVal>
            <c:numRef>
              <c:f>Active!$O$21:$O$981</c:f>
              <c:numCache>
                <c:formatCode>General</c:formatCode>
                <c:ptCount val="961"/>
                <c:pt idx="2">
                  <c:v>-1.284268084778984E-2</c:v>
                </c:pt>
                <c:pt idx="3">
                  <c:v>-1.1591723859030253E-2</c:v>
                </c:pt>
                <c:pt idx="4">
                  <c:v>-1.0340766870270666E-2</c:v>
                </c:pt>
                <c:pt idx="5">
                  <c:v>-1.2454683492987402E-2</c:v>
                </c:pt>
                <c:pt idx="6">
                  <c:v>-1.104652067943717E-2</c:v>
                </c:pt>
                <c:pt idx="7">
                  <c:v>-8.5011242397418588E-3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5C-4EDF-82C5-A416D361D768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Active!$F$21:$F$981</c:f>
              <c:numCache>
                <c:formatCode>General</c:formatCode>
                <c:ptCount val="961"/>
                <c:pt idx="0">
                  <c:v>-939</c:v>
                </c:pt>
                <c:pt idx="1">
                  <c:v>-895</c:v>
                </c:pt>
                <c:pt idx="2">
                  <c:v>1202</c:v>
                </c:pt>
                <c:pt idx="3">
                  <c:v>1576</c:v>
                </c:pt>
                <c:pt idx="4">
                  <c:v>1950</c:v>
                </c:pt>
                <c:pt idx="5">
                  <c:v>1318</c:v>
                </c:pt>
                <c:pt idx="6">
                  <c:v>1739</c:v>
                </c:pt>
                <c:pt idx="7">
                  <c:v>2500</c:v>
                </c:pt>
              </c:numCache>
            </c:numRef>
          </c:xVal>
          <c:yVal>
            <c:numRef>
              <c:f>Active!$U$21:$U$981</c:f>
              <c:numCache>
                <c:formatCode>General</c:formatCode>
                <c:ptCount val="961"/>
                <c:pt idx="0">
                  <c:v>5.0824999998440035E-3</c:v>
                </c:pt>
                <c:pt idx="1">
                  <c:v>-2.5874999992083758E-3</c:v>
                </c:pt>
                <c:pt idx="7">
                  <c:v>-1.1189999997441191E-2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85C-4EDF-82C5-A416D361D768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-1000</c:v>
                </c:pt>
                <c:pt idx="1">
                  <c:v>-800</c:v>
                </c:pt>
                <c:pt idx="2">
                  <c:v>-600</c:v>
                </c:pt>
                <c:pt idx="3">
                  <c:v>-400</c:v>
                </c:pt>
                <c:pt idx="4">
                  <c:v>-200</c:v>
                </c:pt>
                <c:pt idx="5">
                  <c:v>0</c:v>
                </c:pt>
                <c:pt idx="6">
                  <c:v>200</c:v>
                </c:pt>
                <c:pt idx="7">
                  <c:v>400</c:v>
                </c:pt>
                <c:pt idx="8">
                  <c:v>600</c:v>
                </c:pt>
                <c:pt idx="9">
                  <c:v>800</c:v>
                </c:pt>
                <c:pt idx="10">
                  <c:v>1000</c:v>
                </c:pt>
                <c:pt idx="11">
                  <c:v>1200</c:v>
                </c:pt>
                <c:pt idx="12">
                  <c:v>1400</c:v>
                </c:pt>
                <c:pt idx="13">
                  <c:v>1600</c:v>
                </c:pt>
                <c:pt idx="14">
                  <c:v>1800</c:v>
                </c:pt>
                <c:pt idx="15">
                  <c:v>2000</c:v>
                </c:pt>
              </c:numCache>
            </c:numRef>
          </c:xVal>
          <c:yVal>
            <c:numRef>
              <c:f>Active!$W$2:$W$20</c:f>
              <c:numCache>
                <c:formatCode>General</c:formatCode>
                <c:ptCount val="19"/>
                <c:pt idx="0">
                  <c:v>3.0979068588419334E-3</c:v>
                </c:pt>
                <c:pt idx="1">
                  <c:v>-1.056446798637002E-3</c:v>
                </c:pt>
                <c:pt idx="2">
                  <c:v>-4.7011058823742506E-3</c:v>
                </c:pt>
                <c:pt idx="3">
                  <c:v>-7.8360703923698108E-3</c:v>
                </c:pt>
                <c:pt idx="4">
                  <c:v>-1.0461340328623683E-2</c:v>
                </c:pt>
                <c:pt idx="5">
                  <c:v>-1.257691569113587E-2</c:v>
                </c:pt>
                <c:pt idx="6">
                  <c:v>-1.4182796479906369E-2</c:v>
                </c:pt>
                <c:pt idx="7">
                  <c:v>-1.5278982694935179E-2</c:v>
                </c:pt>
                <c:pt idx="8">
                  <c:v>-1.5865474336222304E-2</c:v>
                </c:pt>
                <c:pt idx="9">
                  <c:v>-1.5942271403767742E-2</c:v>
                </c:pt>
                <c:pt idx="10">
                  <c:v>-1.5509373897571489E-2</c:v>
                </c:pt>
                <c:pt idx="11">
                  <c:v>-1.4566781817633549E-2</c:v>
                </c:pt>
                <c:pt idx="12">
                  <c:v>-1.3114495163953924E-2</c:v>
                </c:pt>
                <c:pt idx="13">
                  <c:v>-1.1152513936532611E-2</c:v>
                </c:pt>
                <c:pt idx="14">
                  <c:v>-8.6808381353696076E-3</c:v>
                </c:pt>
                <c:pt idx="15">
                  <c:v>-5.6994677604649234E-3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85C-4EDF-82C5-A416D361D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784120"/>
        <c:axId val="1"/>
      </c:scatterChart>
      <c:valAx>
        <c:axId val="614784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330827067664"/>
              <c:y val="0.84302325581395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7841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41353383458646"/>
          <c:y val="0.92441860465116277"/>
          <c:w val="0.81353383458646622"/>
          <c:h val="5.81395348837209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E6D10F0C-FC2B-5236-8E76-009F51726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42" TargetMode="External"/><Relationship Id="rId3" Type="http://schemas.openxmlformats.org/officeDocument/2006/relationships/hyperlink" Target="http://www.konkoly.hu/cgi-bin/IBVS?4887" TargetMode="External"/><Relationship Id="rId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konkoly.hu/cgi-bin/IBVS?4887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960" TargetMode="External"/><Relationship Id="rId5" Type="http://schemas.openxmlformats.org/officeDocument/2006/relationships/hyperlink" Target="http://www.bav-astro.de/sfs/BAVM_link.php?BAVMnr=212" TargetMode="External"/><Relationship Id="rId4" Type="http://schemas.openxmlformats.org/officeDocument/2006/relationships/hyperlink" Target="http://www.konkoly.hu/cgi-bin/IBVS?58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22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140625" customWidth="1"/>
    <col min="6" max="6" width="16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3" ht="21" thickBot="1" x14ac:dyDescent="0.35">
      <c r="A1" s="1" t="s">
        <v>35</v>
      </c>
      <c r="V1" s="4" t="s">
        <v>9</v>
      </c>
      <c r="W1" s="6" t="s">
        <v>20</v>
      </c>
    </row>
    <row r="2" spans="1:23" x14ac:dyDescent="0.2">
      <c r="A2" t="s">
        <v>22</v>
      </c>
      <c r="B2" t="s">
        <v>39</v>
      </c>
      <c r="C2" s="3"/>
      <c r="D2" s="3"/>
      <c r="V2" s="55">
        <v>-1000</v>
      </c>
      <c r="W2" s="55">
        <f>+D$11+D$12*V2+D$13*V2^2</f>
        <v>3.0979068588419334E-3</v>
      </c>
    </row>
    <row r="3" spans="1:23" ht="13.5" thickBot="1" x14ac:dyDescent="0.25">
      <c r="V3" s="55">
        <v>-800</v>
      </c>
      <c r="W3" s="55">
        <f t="shared" ref="W3:W17" si="0">+D$11+D$12*V3+D$13*V3^2</f>
        <v>-1.056446798637002E-3</v>
      </c>
    </row>
    <row r="4" spans="1:23" ht="14.25" thickTop="1" thickBot="1" x14ac:dyDescent="0.25">
      <c r="A4" s="5" t="s">
        <v>0</v>
      </c>
      <c r="C4" s="8" t="s">
        <v>34</v>
      </c>
      <c r="D4" s="9" t="s">
        <v>34</v>
      </c>
      <c r="V4" s="55">
        <v>-600</v>
      </c>
      <c r="W4" s="55">
        <f t="shared" si="0"/>
        <v>-4.7011058823742506E-3</v>
      </c>
    </row>
    <row r="5" spans="1:23" ht="13.5" thickTop="1" x14ac:dyDescent="0.2">
      <c r="A5" s="11" t="s">
        <v>27</v>
      </c>
      <c r="B5" s="12"/>
      <c r="C5" s="13">
        <v>-9.5</v>
      </c>
      <c r="D5" s="12" t="s">
        <v>28</v>
      </c>
      <c r="V5" s="55">
        <v>-400</v>
      </c>
      <c r="W5" s="55">
        <f t="shared" si="0"/>
        <v>-7.8360703923698108E-3</v>
      </c>
    </row>
    <row r="6" spans="1:23" x14ac:dyDescent="0.2">
      <c r="A6" s="5" t="s">
        <v>1</v>
      </c>
      <c r="V6" s="55">
        <v>-200</v>
      </c>
      <c r="W6" s="55">
        <f t="shared" si="0"/>
        <v>-1.0461340328623683E-2</v>
      </c>
    </row>
    <row r="7" spans="1:23" x14ac:dyDescent="0.2">
      <c r="A7" t="s">
        <v>2</v>
      </c>
      <c r="C7">
        <v>52501.243600000002</v>
      </c>
      <c r="V7" s="55">
        <v>0</v>
      </c>
      <c r="W7" s="55">
        <f t="shared" si="0"/>
        <v>-1.257691569113587E-2</v>
      </c>
    </row>
    <row r="8" spans="1:23" x14ac:dyDescent="0.2">
      <c r="A8" t="s">
        <v>3</v>
      </c>
      <c r="C8">
        <v>1.9304675</v>
      </c>
      <c r="D8" s="26" t="s">
        <v>36</v>
      </c>
      <c r="V8" s="55">
        <v>200</v>
      </c>
      <c r="W8" s="55">
        <f t="shared" si="0"/>
        <v>-1.4182796479906369E-2</v>
      </c>
    </row>
    <row r="9" spans="1:23" x14ac:dyDescent="0.2">
      <c r="A9" s="24" t="s">
        <v>32</v>
      </c>
      <c r="B9" s="25">
        <v>23</v>
      </c>
      <c r="C9" s="22" t="str">
        <f>"F"&amp;B9</f>
        <v>F23</v>
      </c>
      <c r="D9" s="23" t="str">
        <f>"G"&amp;B9</f>
        <v>G23</v>
      </c>
      <c r="V9" s="55">
        <v>400</v>
      </c>
      <c r="W9" s="55">
        <f t="shared" si="0"/>
        <v>-1.5278982694935179E-2</v>
      </c>
    </row>
    <row r="10" spans="1:23" ht="13.5" thickBot="1" x14ac:dyDescent="0.25">
      <c r="A10" s="12"/>
      <c r="B10" s="12"/>
      <c r="C10" s="4" t="s">
        <v>18</v>
      </c>
      <c r="D10" s="4" t="s">
        <v>19</v>
      </c>
      <c r="E10" s="12"/>
      <c r="V10" s="55">
        <v>600</v>
      </c>
      <c r="W10" s="55">
        <f t="shared" si="0"/>
        <v>-1.5865474336222304E-2</v>
      </c>
    </row>
    <row r="11" spans="1:23" x14ac:dyDescent="0.2">
      <c r="A11" s="12" t="s">
        <v>14</v>
      </c>
      <c r="B11" s="12"/>
      <c r="C11" s="21">
        <f ca="1">INTERCEPT(INDIRECT($D$9):G992,INDIRECT($C$9):F992)</f>
        <v>-1.6863136196690977E-2</v>
      </c>
      <c r="D11" s="3">
        <f>+E11*F11</f>
        <v>-1.257691569113587E-2</v>
      </c>
      <c r="E11" s="47">
        <v>-1.257691569113587E-2</v>
      </c>
      <c r="F11">
        <v>1</v>
      </c>
      <c r="V11" s="55">
        <v>800</v>
      </c>
      <c r="W11" s="55">
        <f t="shared" si="0"/>
        <v>-1.5942271403767742E-2</v>
      </c>
    </row>
    <row r="12" spans="1:23" x14ac:dyDescent="0.2">
      <c r="A12" s="12" t="s">
        <v>15</v>
      </c>
      <c r="B12" s="12"/>
      <c r="C12" s="21">
        <f ca="1">SLOPE(INDIRECT($D$9):G992,INDIRECT($C$9):F992)</f>
        <v>3.3448047827796472E-6</v>
      </c>
      <c r="D12" s="3">
        <f>+E12*F12</f>
        <v>-9.3036403782067107E-6</v>
      </c>
      <c r="E12" s="48">
        <v>-9.3036403782067109E-2</v>
      </c>
      <c r="F12" s="49">
        <v>1E-4</v>
      </c>
      <c r="V12" s="55">
        <v>1000</v>
      </c>
      <c r="W12" s="55">
        <f t="shared" si="0"/>
        <v>-1.5509373897571489E-2</v>
      </c>
    </row>
    <row r="13" spans="1:23" ht="13.5" thickBot="1" x14ac:dyDescent="0.25">
      <c r="A13" s="12" t="s">
        <v>17</v>
      </c>
      <c r="B13" s="12"/>
      <c r="C13" s="3" t="s">
        <v>12</v>
      </c>
      <c r="D13" s="3">
        <f>+E13*F13</f>
        <v>6.3711821717710924E-9</v>
      </c>
      <c r="E13" s="50">
        <v>0.63711821717710926</v>
      </c>
      <c r="F13" s="49">
        <v>1E-8</v>
      </c>
      <c r="V13" s="55">
        <v>1200</v>
      </c>
      <c r="W13" s="55">
        <f t="shared" si="0"/>
        <v>-1.4566781817633549E-2</v>
      </c>
    </row>
    <row r="14" spans="1:23" x14ac:dyDescent="0.2">
      <c r="A14" s="12"/>
      <c r="B14" s="12"/>
      <c r="C14" s="12"/>
      <c r="E14">
        <f>SUM(T21:T950)</f>
        <v>2.5376272098487747E-4</v>
      </c>
      <c r="V14" s="55">
        <v>1400</v>
      </c>
      <c r="W14" s="55">
        <f t="shared" si="0"/>
        <v>-1.3114495163953924E-2</v>
      </c>
    </row>
    <row r="15" spans="1:23" x14ac:dyDescent="0.2">
      <c r="A15" s="14" t="s">
        <v>16</v>
      </c>
      <c r="B15" s="12"/>
      <c r="C15" s="15">
        <f ca="1">(C7+C11)+(C8+C12)*INT(MAX(F21:F3533))</f>
        <v>57327.403848875765</v>
      </c>
      <c r="D15" s="23">
        <f>+C7+INT(MAX(F21:F1588))*C8+D11+D12*INT(MAX(F21:F4023))+D13*INT(MAX(F21:F4050)^2)</f>
        <v>57327.416333871937</v>
      </c>
      <c r="E15" s="16" t="s">
        <v>41</v>
      </c>
      <c r="F15" s="13">
        <v>1</v>
      </c>
      <c r="V15" s="55">
        <v>1600</v>
      </c>
      <c r="W15" s="55">
        <f t="shared" si="0"/>
        <v>-1.1152513936532611E-2</v>
      </c>
    </row>
    <row r="16" spans="1:23" x14ac:dyDescent="0.2">
      <c r="A16" s="18" t="s">
        <v>4</v>
      </c>
      <c r="B16" s="12"/>
      <c r="C16" s="19">
        <f ca="1">+C8+C12</f>
        <v>1.9304708448047827</v>
      </c>
      <c r="D16" s="23">
        <f>+C8+D12+2*D13*MAX(F21:F896)</f>
        <v>1.9304900522704806</v>
      </c>
      <c r="E16" s="16" t="s">
        <v>29</v>
      </c>
      <c r="F16" s="17">
        <f ca="1">NOW()+15018.5+$C$5/24</f>
        <v>60095.778280902778</v>
      </c>
      <c r="V16" s="55">
        <v>1800</v>
      </c>
      <c r="W16" s="55">
        <f t="shared" si="0"/>
        <v>-8.6808381353696076E-3</v>
      </c>
    </row>
    <row r="17" spans="1:23" ht="13.5" thickBot="1" x14ac:dyDescent="0.25">
      <c r="A17" s="16" t="s">
        <v>26</v>
      </c>
      <c r="B17" s="12"/>
      <c r="C17" s="12">
        <f>COUNT(C21:C2191)</f>
        <v>8</v>
      </c>
      <c r="E17" s="16" t="s">
        <v>42</v>
      </c>
      <c r="F17" s="17">
        <f ca="1">ROUND(2*(F16-$C$7)/$C$8,0)/2+F15</f>
        <v>3935</v>
      </c>
      <c r="V17" s="55">
        <v>2000</v>
      </c>
      <c r="W17" s="55">
        <f t="shared" si="0"/>
        <v>-5.6994677604649234E-3</v>
      </c>
    </row>
    <row r="18" spans="1:23" ht="14.25" thickTop="1" thickBot="1" x14ac:dyDescent="0.25">
      <c r="A18" s="5" t="s">
        <v>94</v>
      </c>
      <c r="C18" s="56">
        <f ca="1">+C15</f>
        <v>57327.403848875765</v>
      </c>
      <c r="D18" s="57">
        <f ca="1">C16</f>
        <v>1.9304708448047827</v>
      </c>
      <c r="E18" s="16" t="s">
        <v>30</v>
      </c>
      <c r="F18" s="23">
        <f ca="1">ROUND(2*(F16-$C$15)/$C$16,0)/2+F15</f>
        <v>1435</v>
      </c>
    </row>
    <row r="19" spans="1:23" ht="13.5" thickBot="1" x14ac:dyDescent="0.25">
      <c r="A19" s="5" t="s">
        <v>95</v>
      </c>
      <c r="C19" s="58">
        <f>+D15</f>
        <v>57327.416333871937</v>
      </c>
      <c r="D19" s="59">
        <f>+D16</f>
        <v>1.9304900522704806</v>
      </c>
      <c r="E19" s="16" t="s">
        <v>31</v>
      </c>
      <c r="F19" s="20">
        <f ca="1">+$C$15+$C$16*F18-15018.5-$C$5/24</f>
        <v>45079.525344503963</v>
      </c>
    </row>
    <row r="20" spans="1:23" ht="1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51</v>
      </c>
      <c r="I20" s="7" t="s">
        <v>54</v>
      </c>
      <c r="J20" s="7" t="s">
        <v>48</v>
      </c>
      <c r="K20" s="7" t="s">
        <v>46</v>
      </c>
      <c r="L20" s="7" t="s">
        <v>23</v>
      </c>
      <c r="M20" s="7" t="s">
        <v>24</v>
      </c>
      <c r="N20" s="7" t="s">
        <v>25</v>
      </c>
      <c r="O20" s="7" t="s">
        <v>21</v>
      </c>
      <c r="P20" s="51" t="s">
        <v>20</v>
      </c>
      <c r="Q20" s="4" t="s">
        <v>13</v>
      </c>
      <c r="R20" s="52" t="s">
        <v>91</v>
      </c>
      <c r="S20" s="6" t="s">
        <v>92</v>
      </c>
      <c r="T20" s="52" t="s">
        <v>93</v>
      </c>
      <c r="U20" s="46" t="s">
        <v>90</v>
      </c>
    </row>
    <row r="21" spans="1:23" x14ac:dyDescent="0.2">
      <c r="A21" s="27" t="s">
        <v>37</v>
      </c>
      <c r="B21" s="27"/>
      <c r="C21" s="27">
        <v>50688.539700000001</v>
      </c>
      <c r="D21" s="27">
        <v>2.8E-3</v>
      </c>
      <c r="E21">
        <f t="shared" ref="E21:E27" si="1">+(C21-C$7)/C$8</f>
        <v>-938.99736721804459</v>
      </c>
      <c r="F21">
        <f t="shared" ref="F21:F28" si="2">ROUND(2*E21,0)/2</f>
        <v>-939</v>
      </c>
      <c r="G21">
        <f t="shared" ref="G21:G27" si="3">+C21-(C$7+F21*C$8)</f>
        <v>5.0824999998440035E-3</v>
      </c>
      <c r="P21" s="53">
        <f>+D$11+D$12*F21+D$13*F21^2</f>
        <v>1.7768077396764096E-3</v>
      </c>
      <c r="Q21" s="54">
        <f t="shared" ref="Q21:Q27" si="4">+C21-15018.5</f>
        <v>35670.039700000001</v>
      </c>
      <c r="R21" s="55">
        <f t="shared" ref="R21:R27" si="5">+(P21-G21)^2</f>
        <v>1.0927601318931935E-5</v>
      </c>
      <c r="S21" s="55">
        <v>1</v>
      </c>
      <c r="T21" s="55">
        <f t="shared" ref="T21:T27" si="6">+S21*R21</f>
        <v>1.0927601318931935E-5</v>
      </c>
      <c r="U21">
        <f>+C21-(C$7+F21*C$8)</f>
        <v>5.0824999998440035E-3</v>
      </c>
      <c r="W21" t="s">
        <v>46</v>
      </c>
    </row>
    <row r="22" spans="1:23" x14ac:dyDescent="0.2">
      <c r="A22" s="27" t="s">
        <v>37</v>
      </c>
      <c r="B22" s="27"/>
      <c r="C22" s="27">
        <v>50773.472600000001</v>
      </c>
      <c r="D22" s="27">
        <v>2.0999999999999999E-3</v>
      </c>
      <c r="E22">
        <f t="shared" si="1"/>
        <v>-895.0013403489055</v>
      </c>
      <c r="F22">
        <f t="shared" si="2"/>
        <v>-895</v>
      </c>
      <c r="G22">
        <f t="shared" si="3"/>
        <v>-2.5874999992083758E-3</v>
      </c>
      <c r="P22" s="53">
        <f t="shared" ref="P22:P27" si="7">+D$11+D$12*F22+D$13*F22^2</f>
        <v>8.5331864650207458E-4</v>
      </c>
      <c r="Q22" s="2">
        <f t="shared" si="4"/>
        <v>35754.972600000001</v>
      </c>
      <c r="R22" s="55">
        <f t="shared" si="5"/>
        <v>1.1839232952668697E-5</v>
      </c>
      <c r="S22" s="55">
        <v>1</v>
      </c>
      <c r="T22" s="55">
        <f t="shared" si="6"/>
        <v>1.1839232952668697E-5</v>
      </c>
      <c r="U22">
        <f>+C22-(C$7+F22*C$8)</f>
        <v>-2.5874999992083758E-3</v>
      </c>
      <c r="W22" t="s">
        <v>46</v>
      </c>
    </row>
    <row r="23" spans="1:23" x14ac:dyDescent="0.2">
      <c r="A23" s="27" t="s">
        <v>38</v>
      </c>
      <c r="B23" s="28" t="s">
        <v>33</v>
      </c>
      <c r="C23" s="27">
        <v>54821.651400000002</v>
      </c>
      <c r="D23" s="27">
        <v>5.0000000000000001E-4</v>
      </c>
      <c r="E23">
        <f t="shared" si="1"/>
        <v>1201.9926779394116</v>
      </c>
      <c r="F23">
        <f t="shared" si="2"/>
        <v>1202</v>
      </c>
      <c r="G23">
        <f t="shared" si="3"/>
        <v>-1.4134999997622799E-2</v>
      </c>
      <c r="K23">
        <f t="shared" ref="K23:K28" si="8">+G23</f>
        <v>-1.4134999997622799E-2</v>
      </c>
      <c r="O23">
        <f t="shared" ref="O23:O28" ca="1" si="9">+C$11+C$12*$F23</f>
        <v>-1.284268084778984E-2</v>
      </c>
      <c r="P23" s="53">
        <f t="shared" si="7"/>
        <v>-1.4554781939236776E-2</v>
      </c>
      <c r="Q23" s="2">
        <f t="shared" si="4"/>
        <v>39803.151400000002</v>
      </c>
      <c r="R23" s="55">
        <f t="shared" si="5"/>
        <v>1.7621687850520044E-7</v>
      </c>
      <c r="S23" s="55">
        <v>1</v>
      </c>
      <c r="T23" s="55">
        <f t="shared" si="6"/>
        <v>1.7621687850520044E-7</v>
      </c>
    </row>
    <row r="24" spans="1:23" x14ac:dyDescent="0.2">
      <c r="A24" s="29" t="s">
        <v>40</v>
      </c>
      <c r="B24" s="28" t="s">
        <v>33</v>
      </c>
      <c r="C24" s="27">
        <v>55543.648300000001</v>
      </c>
      <c r="D24" s="27">
        <v>5.0000000000000001E-4</v>
      </c>
      <c r="E24">
        <f t="shared" si="1"/>
        <v>1575.993742448396</v>
      </c>
      <c r="F24">
        <f t="shared" si="2"/>
        <v>1576</v>
      </c>
      <c r="G24">
        <f t="shared" si="3"/>
        <v>-1.2080000000423752E-2</v>
      </c>
      <c r="K24">
        <f t="shared" si="8"/>
        <v>-1.2080000000423752E-2</v>
      </c>
      <c r="O24">
        <f t="shared" ca="1" si="9"/>
        <v>-1.1591723859030253E-2</v>
      </c>
      <c r="P24" s="53">
        <f t="shared" si="7"/>
        <v>-1.1414863557316728E-2</v>
      </c>
      <c r="Q24" s="2">
        <f t="shared" si="4"/>
        <v>40525.148300000001</v>
      </c>
      <c r="R24" s="55">
        <f t="shared" si="5"/>
        <v>4.4240648794906269E-7</v>
      </c>
      <c r="S24" s="55">
        <v>1</v>
      </c>
      <c r="T24" s="55">
        <f t="shared" si="6"/>
        <v>4.4240648794906269E-7</v>
      </c>
    </row>
    <row r="25" spans="1:23" x14ac:dyDescent="0.2">
      <c r="A25" s="30" t="s">
        <v>43</v>
      </c>
      <c r="B25" s="31" t="s">
        <v>33</v>
      </c>
      <c r="C25" s="32">
        <v>56265.6489</v>
      </c>
      <c r="D25" s="32">
        <v>3.0000000000000003E-4</v>
      </c>
      <c r="E25">
        <f t="shared" si="1"/>
        <v>1949.9967235915644</v>
      </c>
      <c r="F25">
        <f t="shared" si="2"/>
        <v>1950</v>
      </c>
      <c r="G25">
        <f t="shared" si="3"/>
        <v>-6.3250000021071173E-3</v>
      </c>
      <c r="K25">
        <f t="shared" si="8"/>
        <v>-6.3250000021071173E-3</v>
      </c>
      <c r="O25">
        <f t="shared" ca="1" si="9"/>
        <v>-1.0340766870270666E-2</v>
      </c>
      <c r="P25" s="53">
        <f t="shared" si="7"/>
        <v>-6.4925942204793752E-3</v>
      </c>
      <c r="Q25" s="2">
        <f t="shared" si="4"/>
        <v>41247.1489</v>
      </c>
      <c r="R25" s="55">
        <f t="shared" si="5"/>
        <v>2.8087822031808052E-8</v>
      </c>
      <c r="S25" s="55">
        <v>1</v>
      </c>
      <c r="T25" s="55">
        <f t="shared" si="6"/>
        <v>2.8087822031808052E-8</v>
      </c>
    </row>
    <row r="26" spans="1:23" x14ac:dyDescent="0.2">
      <c r="A26" t="s">
        <v>76</v>
      </c>
      <c r="B26" t="s">
        <v>33</v>
      </c>
      <c r="C26" s="10">
        <v>55045.586300000003</v>
      </c>
      <c r="D26" s="10" t="s">
        <v>54</v>
      </c>
      <c r="E26">
        <f t="shared" si="1"/>
        <v>1317.9930250056016</v>
      </c>
      <c r="F26">
        <f t="shared" si="2"/>
        <v>1318</v>
      </c>
      <c r="G26">
        <f t="shared" si="3"/>
        <v>-1.3464999996358529E-2</v>
      </c>
      <c r="K26">
        <f t="shared" si="8"/>
        <v>-1.3464999996358529E-2</v>
      </c>
      <c r="O26">
        <f t="shared" ca="1" si="9"/>
        <v>-1.2454683492987402E-2</v>
      </c>
      <c r="P26" s="53">
        <f t="shared" si="7"/>
        <v>-1.3771580250656629E-2</v>
      </c>
      <c r="Q26" s="2">
        <f t="shared" si="4"/>
        <v>40027.086300000003</v>
      </c>
      <c r="R26" s="55">
        <f t="shared" si="5"/>
        <v>9.3991452325488076E-8</v>
      </c>
      <c r="S26" s="55">
        <v>1</v>
      </c>
      <c r="T26" s="55">
        <f t="shared" si="6"/>
        <v>9.3991452325488076E-8</v>
      </c>
    </row>
    <row r="27" spans="1:23" x14ac:dyDescent="0.2">
      <c r="A27" t="s">
        <v>85</v>
      </c>
      <c r="B27" t="s">
        <v>33</v>
      </c>
      <c r="C27" s="10">
        <v>55858.317000000003</v>
      </c>
      <c r="D27" s="10" t="s">
        <v>54</v>
      </c>
      <c r="E27">
        <f t="shared" si="1"/>
        <v>1738.9950361764709</v>
      </c>
      <c r="F27">
        <f t="shared" si="2"/>
        <v>1739</v>
      </c>
      <c r="G27">
        <f t="shared" si="3"/>
        <v>-9.5824999953038059E-3</v>
      </c>
      <c r="K27">
        <f t="shared" si="8"/>
        <v>-9.5824999953038059E-3</v>
      </c>
      <c r="O27">
        <f t="shared" ca="1" si="9"/>
        <v>-1.104652067943717E-2</v>
      </c>
      <c r="P27" s="53">
        <f t="shared" si="7"/>
        <v>-9.4887205083587743E-3</v>
      </c>
      <c r="Q27" s="2">
        <f t="shared" si="4"/>
        <v>40839.817000000003</v>
      </c>
      <c r="R27" s="55">
        <f t="shared" si="5"/>
        <v>8.7945921716733532E-9</v>
      </c>
      <c r="S27" s="55">
        <v>1</v>
      </c>
      <c r="T27" s="55">
        <f t="shared" si="6"/>
        <v>8.7945921716733532E-9</v>
      </c>
    </row>
    <row r="28" spans="1:23" x14ac:dyDescent="0.2">
      <c r="A28" s="60" t="s">
        <v>96</v>
      </c>
      <c r="B28" s="61" t="s">
        <v>33</v>
      </c>
      <c r="C28" s="62">
        <v>57327.401160000001</v>
      </c>
      <c r="D28" s="62">
        <v>1E-4</v>
      </c>
      <c r="E28">
        <f>+(C28-C$7)/C$8</f>
        <v>2499.9942034766186</v>
      </c>
      <c r="F28">
        <f t="shared" si="2"/>
        <v>2500</v>
      </c>
      <c r="G28">
        <f>+C28-(C$7+F28*C$8)</f>
        <v>-1.1189999997441191E-2</v>
      </c>
      <c r="K28">
        <f t="shared" si="8"/>
        <v>-1.1189999997441191E-2</v>
      </c>
      <c r="O28">
        <f t="shared" ca="1" si="9"/>
        <v>-8.5011242397418588E-3</v>
      </c>
      <c r="P28" s="53">
        <f>+D$11+D$12*F28+D$13*F28^2</f>
        <v>3.9838719369166831E-3</v>
      </c>
      <c r="Q28" s="2">
        <f>+C28-15018.5</f>
        <v>42308.901160000001</v>
      </c>
      <c r="R28" s="55">
        <f>+(P28-G28)^2</f>
        <v>2.3024638948029359E-4</v>
      </c>
      <c r="S28" s="55">
        <v>1</v>
      </c>
      <c r="T28" s="55">
        <f>+S28*R28</f>
        <v>2.3024638948029359E-4</v>
      </c>
      <c r="U28">
        <f>+C28-(C$7+F28*C$8)</f>
        <v>-1.1189999997441191E-2</v>
      </c>
    </row>
    <row r="29" spans="1:23" x14ac:dyDescent="0.2">
      <c r="C29" s="10"/>
      <c r="D29" s="10"/>
    </row>
    <row r="30" spans="1:23" x14ac:dyDescent="0.2">
      <c r="C30" s="10"/>
      <c r="D30" s="10"/>
    </row>
    <row r="31" spans="1:23" x14ac:dyDescent="0.2">
      <c r="C31" s="10"/>
      <c r="D31" s="10"/>
    </row>
    <row r="32" spans="1:23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</sheetData>
  <phoneticPr fontId="8" type="noConversion"/>
  <hyperlinks>
    <hyperlink ref="H3606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41"/>
  <sheetViews>
    <sheetView workbookViewId="0">
      <selection activeCell="A16" sqref="A16:D17"/>
    </sheetView>
  </sheetViews>
  <sheetFormatPr defaultRowHeight="12.75" x14ac:dyDescent="0.2"/>
  <cols>
    <col min="1" max="1" width="16.28515625" style="10" customWidth="1"/>
    <col min="2" max="2" width="4.42578125" style="12" customWidth="1"/>
    <col min="3" max="3" width="12.7109375" style="10" customWidth="1"/>
    <col min="4" max="4" width="3.5703125" style="12" customWidth="1"/>
    <col min="5" max="5" width="12.42578125" style="12" customWidth="1"/>
    <col min="6" max="6" width="5.42578125" style="12" customWidth="1"/>
    <col min="7" max="7" width="12" style="12" customWidth="1"/>
    <col min="8" max="8" width="7.28515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3" t="s">
        <v>44</v>
      </c>
      <c r="I1" s="34" t="s">
        <v>45</v>
      </c>
      <c r="J1" s="35" t="s">
        <v>46</v>
      </c>
    </row>
    <row r="2" spans="1:16" x14ac:dyDescent="0.2">
      <c r="I2" s="36" t="s">
        <v>47</v>
      </c>
      <c r="J2" s="37" t="s">
        <v>48</v>
      </c>
    </row>
    <row r="3" spans="1:16" x14ac:dyDescent="0.2">
      <c r="A3" s="38" t="s">
        <v>49</v>
      </c>
      <c r="I3" s="36" t="s">
        <v>50</v>
      </c>
      <c r="J3" s="37" t="s">
        <v>51</v>
      </c>
    </row>
    <row r="4" spans="1:16" x14ac:dyDescent="0.2">
      <c r="I4" s="36" t="s">
        <v>52</v>
      </c>
      <c r="J4" s="37" t="s">
        <v>51</v>
      </c>
    </row>
    <row r="5" spans="1:16" ht="13.5" thickBot="1" x14ac:dyDescent="0.25">
      <c r="I5" s="39" t="s">
        <v>53</v>
      </c>
      <c r="J5" s="40" t="s">
        <v>54</v>
      </c>
    </row>
    <row r="10" spans="1:16" ht="13.5" thickBot="1" x14ac:dyDescent="0.25"/>
    <row r="11" spans="1:16" ht="12.75" customHeight="1" thickBot="1" x14ac:dyDescent="0.25">
      <c r="A11" s="10" t="str">
        <f t="shared" ref="A11:A17" si="0">P11</f>
        <v>IBVS 4887 </v>
      </c>
      <c r="B11" s="3" t="str">
        <f t="shared" ref="B11:B17" si="1">IF(H11=INT(H11),"I","II")</f>
        <v>I</v>
      </c>
      <c r="C11" s="10">
        <f t="shared" ref="C11:C17" si="2">1*G11</f>
        <v>50688.539700000001</v>
      </c>
      <c r="D11" s="12" t="str">
        <f t="shared" ref="D11:D17" si="3">VLOOKUP(F11,I$1:J$5,2,FALSE)</f>
        <v>vis</v>
      </c>
      <c r="E11" s="41">
        <f>VLOOKUP(C11,Active!C$21:E$973,3,FALSE)</f>
        <v>-938.99736721804459</v>
      </c>
      <c r="F11" s="3" t="s">
        <v>53</v>
      </c>
      <c r="G11" s="12" t="str">
        <f t="shared" ref="G11:G17" si="4">MID(I11,3,LEN(I11)-3)</f>
        <v>50688.5397</v>
      </c>
      <c r="H11" s="10">
        <f t="shared" ref="H11:H17" si="5">1*K11</f>
        <v>-355</v>
      </c>
      <c r="I11" s="42" t="s">
        <v>55</v>
      </c>
      <c r="J11" s="43" t="s">
        <v>56</v>
      </c>
      <c r="K11" s="42">
        <v>-355</v>
      </c>
      <c r="L11" s="42" t="s">
        <v>57</v>
      </c>
      <c r="M11" s="43" t="s">
        <v>58</v>
      </c>
      <c r="N11" s="43" t="s">
        <v>59</v>
      </c>
      <c r="O11" s="44" t="s">
        <v>60</v>
      </c>
      <c r="P11" s="45" t="s">
        <v>61</v>
      </c>
    </row>
    <row r="12" spans="1:16" ht="12.75" customHeight="1" thickBot="1" x14ac:dyDescent="0.25">
      <c r="A12" s="10" t="str">
        <f t="shared" si="0"/>
        <v>IBVS 4887 </v>
      </c>
      <c r="B12" s="3" t="str">
        <f t="shared" si="1"/>
        <v>I</v>
      </c>
      <c r="C12" s="10">
        <f t="shared" si="2"/>
        <v>50773.472600000001</v>
      </c>
      <c r="D12" s="12" t="str">
        <f t="shared" si="3"/>
        <v>vis</v>
      </c>
      <c r="E12" s="41">
        <f>VLOOKUP(C12,Active!C$21:E$973,3,FALSE)</f>
        <v>-895.0013403489055</v>
      </c>
      <c r="F12" s="3" t="s">
        <v>53</v>
      </c>
      <c r="G12" s="12" t="str">
        <f t="shared" si="4"/>
        <v>50773.4726</v>
      </c>
      <c r="H12" s="10">
        <f t="shared" si="5"/>
        <v>-311</v>
      </c>
      <c r="I12" s="42" t="s">
        <v>62</v>
      </c>
      <c r="J12" s="43" t="s">
        <v>63</v>
      </c>
      <c r="K12" s="42">
        <v>-311</v>
      </c>
      <c r="L12" s="42" t="s">
        <v>64</v>
      </c>
      <c r="M12" s="43" t="s">
        <v>58</v>
      </c>
      <c r="N12" s="43" t="s">
        <v>59</v>
      </c>
      <c r="O12" s="44" t="s">
        <v>60</v>
      </c>
      <c r="P12" s="45" t="s">
        <v>61</v>
      </c>
    </row>
    <row r="13" spans="1:16" ht="12.75" customHeight="1" thickBot="1" x14ac:dyDescent="0.25">
      <c r="A13" s="10" t="str">
        <f t="shared" si="0"/>
        <v>IBVS 5871 </v>
      </c>
      <c r="B13" s="3" t="str">
        <f t="shared" si="1"/>
        <v>I</v>
      </c>
      <c r="C13" s="10">
        <f t="shared" si="2"/>
        <v>54821.651400000002</v>
      </c>
      <c r="D13" s="12" t="str">
        <f t="shared" si="3"/>
        <v>vis</v>
      </c>
      <c r="E13" s="41">
        <f>VLOOKUP(C13,Active!C$21:E$973,3,FALSE)</f>
        <v>1201.9926779394116</v>
      </c>
      <c r="F13" s="3" t="s">
        <v>53</v>
      </c>
      <c r="G13" s="12" t="str">
        <f t="shared" si="4"/>
        <v>54821.6514</v>
      </c>
      <c r="H13" s="10">
        <f t="shared" si="5"/>
        <v>1786</v>
      </c>
      <c r="I13" s="42" t="s">
        <v>65</v>
      </c>
      <c r="J13" s="43" t="s">
        <v>66</v>
      </c>
      <c r="K13" s="42">
        <v>1786</v>
      </c>
      <c r="L13" s="42" t="s">
        <v>67</v>
      </c>
      <c r="M13" s="43" t="s">
        <v>68</v>
      </c>
      <c r="N13" s="43" t="s">
        <v>53</v>
      </c>
      <c r="O13" s="44" t="s">
        <v>69</v>
      </c>
      <c r="P13" s="45" t="s">
        <v>70</v>
      </c>
    </row>
    <row r="14" spans="1:16" ht="12.75" customHeight="1" thickBot="1" x14ac:dyDescent="0.25">
      <c r="A14" s="10" t="str">
        <f t="shared" si="0"/>
        <v>IBVS 5960 </v>
      </c>
      <c r="B14" s="3" t="str">
        <f t="shared" si="1"/>
        <v>I</v>
      </c>
      <c r="C14" s="10">
        <f t="shared" si="2"/>
        <v>55543.648300000001</v>
      </c>
      <c r="D14" s="12" t="str">
        <f t="shared" si="3"/>
        <v>vis</v>
      </c>
      <c r="E14" s="41">
        <f>VLOOKUP(C14,Active!C$21:E$973,3,FALSE)</f>
        <v>1575.993742448396</v>
      </c>
      <c r="F14" s="3" t="s">
        <v>53</v>
      </c>
      <c r="G14" s="12" t="str">
        <f t="shared" si="4"/>
        <v>55543.6483</v>
      </c>
      <c r="H14" s="10">
        <f t="shared" si="5"/>
        <v>2160</v>
      </c>
      <c r="I14" s="42" t="s">
        <v>77</v>
      </c>
      <c r="J14" s="43" t="s">
        <v>78</v>
      </c>
      <c r="K14" s="42">
        <v>2160</v>
      </c>
      <c r="L14" s="42" t="s">
        <v>79</v>
      </c>
      <c r="M14" s="43" t="s">
        <v>68</v>
      </c>
      <c r="N14" s="43" t="s">
        <v>53</v>
      </c>
      <c r="O14" s="44" t="s">
        <v>69</v>
      </c>
      <c r="P14" s="45" t="s">
        <v>80</v>
      </c>
    </row>
    <row r="15" spans="1:16" ht="12.75" customHeight="1" thickBot="1" x14ac:dyDescent="0.25">
      <c r="A15" s="10" t="str">
        <f t="shared" si="0"/>
        <v>IBVS 6042 </v>
      </c>
      <c r="B15" s="3" t="str">
        <f t="shared" si="1"/>
        <v>I</v>
      </c>
      <c r="C15" s="10">
        <f t="shared" si="2"/>
        <v>56265.6489</v>
      </c>
      <c r="D15" s="12" t="str">
        <f t="shared" si="3"/>
        <v>vis</v>
      </c>
      <c r="E15" s="41">
        <f>VLOOKUP(C15,Active!C$21:E$973,3,FALSE)</f>
        <v>1949.9967235915644</v>
      </c>
      <c r="F15" s="3" t="s">
        <v>53</v>
      </c>
      <c r="G15" s="12" t="str">
        <f t="shared" si="4"/>
        <v>56265.6489</v>
      </c>
      <c r="H15" s="10">
        <f t="shared" si="5"/>
        <v>2534</v>
      </c>
      <c r="I15" s="42" t="s">
        <v>86</v>
      </c>
      <c r="J15" s="43" t="s">
        <v>87</v>
      </c>
      <c r="K15" s="42">
        <v>2534</v>
      </c>
      <c r="L15" s="42" t="s">
        <v>88</v>
      </c>
      <c r="M15" s="43" t="s">
        <v>68</v>
      </c>
      <c r="N15" s="43" t="s">
        <v>53</v>
      </c>
      <c r="O15" s="44" t="s">
        <v>69</v>
      </c>
      <c r="P15" s="45" t="s">
        <v>89</v>
      </c>
    </row>
    <row r="16" spans="1:16" ht="12.75" customHeight="1" thickBot="1" x14ac:dyDescent="0.25">
      <c r="A16" s="10" t="str">
        <f t="shared" si="0"/>
        <v>BAVM 212 </v>
      </c>
      <c r="B16" s="3" t="str">
        <f t="shared" si="1"/>
        <v>I</v>
      </c>
      <c r="C16" s="10">
        <f t="shared" si="2"/>
        <v>55045.586300000003</v>
      </c>
      <c r="D16" s="12" t="str">
        <f t="shared" si="3"/>
        <v>vis</v>
      </c>
      <c r="E16" s="41">
        <f>VLOOKUP(C16,Active!C$21:E$973,3,FALSE)</f>
        <v>1317.9930250056016</v>
      </c>
      <c r="F16" s="3" t="s">
        <v>53</v>
      </c>
      <c r="G16" s="12" t="str">
        <f t="shared" si="4"/>
        <v>55045.5863</v>
      </c>
      <c r="H16" s="10">
        <f t="shared" si="5"/>
        <v>1902</v>
      </c>
      <c r="I16" s="42" t="s">
        <v>71</v>
      </c>
      <c r="J16" s="43" t="s">
        <v>72</v>
      </c>
      <c r="K16" s="42">
        <v>1902</v>
      </c>
      <c r="L16" s="42" t="s">
        <v>73</v>
      </c>
      <c r="M16" s="43" t="s">
        <v>68</v>
      </c>
      <c r="N16" s="43" t="s">
        <v>74</v>
      </c>
      <c r="O16" s="44" t="s">
        <v>75</v>
      </c>
      <c r="P16" s="45" t="s">
        <v>76</v>
      </c>
    </row>
    <row r="17" spans="1:16" ht="12.75" customHeight="1" thickBot="1" x14ac:dyDescent="0.25">
      <c r="A17" s="10" t="str">
        <f t="shared" si="0"/>
        <v>BAVM 225 </v>
      </c>
      <c r="B17" s="3" t="str">
        <f t="shared" si="1"/>
        <v>I</v>
      </c>
      <c r="C17" s="10">
        <f t="shared" si="2"/>
        <v>55858.317000000003</v>
      </c>
      <c r="D17" s="12" t="str">
        <f t="shared" si="3"/>
        <v>vis</v>
      </c>
      <c r="E17" s="41">
        <f>VLOOKUP(C17,Active!C$21:E$973,3,FALSE)</f>
        <v>1738.9950361764709</v>
      </c>
      <c r="F17" s="3" t="s">
        <v>53</v>
      </c>
      <c r="G17" s="12" t="str">
        <f t="shared" si="4"/>
        <v>55858.3170</v>
      </c>
      <c r="H17" s="10">
        <f t="shared" si="5"/>
        <v>2323</v>
      </c>
      <c r="I17" s="42" t="s">
        <v>81</v>
      </c>
      <c r="J17" s="43" t="s">
        <v>82</v>
      </c>
      <c r="K17" s="42">
        <v>2323</v>
      </c>
      <c r="L17" s="42" t="s">
        <v>83</v>
      </c>
      <c r="M17" s="43" t="s">
        <v>68</v>
      </c>
      <c r="N17" s="43" t="s">
        <v>74</v>
      </c>
      <c r="O17" s="44" t="s">
        <v>84</v>
      </c>
      <c r="P17" s="45" t="s">
        <v>85</v>
      </c>
    </row>
    <row r="18" spans="1:16" x14ac:dyDescent="0.2">
      <c r="B18" s="3"/>
      <c r="F18" s="3"/>
    </row>
    <row r="19" spans="1:16" x14ac:dyDescent="0.2">
      <c r="B19" s="3"/>
      <c r="F19" s="3"/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</sheetData>
  <phoneticPr fontId="8" type="noConversion"/>
  <hyperlinks>
    <hyperlink ref="A3" r:id="rId1"/>
    <hyperlink ref="P11" r:id="rId2" display="http://www.konkoly.hu/cgi-bin/IBVS?4887"/>
    <hyperlink ref="P12" r:id="rId3" display="http://www.konkoly.hu/cgi-bin/IBVS?4887"/>
    <hyperlink ref="P13" r:id="rId4" display="http://www.konkoly.hu/cgi-bin/IBVS?5871"/>
    <hyperlink ref="P16" r:id="rId5" display="http://www.bav-astro.de/sfs/BAVM_link.php?BAVMnr=212"/>
    <hyperlink ref="P14" r:id="rId6" display="http://www.konkoly.hu/cgi-bin/IBVS?5960"/>
    <hyperlink ref="P17" r:id="rId7" display="http://www.bav-astro.de/sfs/BAVM_link.php?BAVMnr=225"/>
    <hyperlink ref="P15" r:id="rId8" display="http://www.konkoly.hu/cgi-bin/IBVS?6042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2023-05-31T06:40:43Z</dcterms:modified>
</cp:coreProperties>
</file>