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8460096-AD1E-413D-97C2-6E0108BE43E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 (old)" sheetId="1" r:id="rId2"/>
    <sheet name="A (2)" sheetId="2" r:id="rId3"/>
    <sheet name="BAV" sheetId="4" r:id="rId4"/>
  </sheets>
  <calcPr calcId="181029"/>
</workbook>
</file>

<file path=xl/calcChain.xml><?xml version="1.0" encoding="utf-8"?>
<calcChain xmlns="http://schemas.openxmlformats.org/spreadsheetml/2006/main">
  <c r="E38" i="3" l="1"/>
  <c r="F38" i="3"/>
  <c r="G38" i="3"/>
  <c r="K38" i="3"/>
  <c r="Q38" i="3"/>
  <c r="E34" i="3"/>
  <c r="F34" i="3"/>
  <c r="G34" i="3"/>
  <c r="K34" i="3"/>
  <c r="E27" i="3"/>
  <c r="F27" i="3"/>
  <c r="G27" i="3"/>
  <c r="I27" i="3"/>
  <c r="E21" i="3"/>
  <c r="F21" i="3"/>
  <c r="G21" i="3"/>
  <c r="K21" i="3"/>
  <c r="E22" i="3"/>
  <c r="F22" i="3"/>
  <c r="G22" i="3"/>
  <c r="K22" i="3"/>
  <c r="E24" i="3"/>
  <c r="F24" i="3"/>
  <c r="G24" i="3"/>
  <c r="K24" i="3"/>
  <c r="E28" i="3"/>
  <c r="F28" i="3"/>
  <c r="G28" i="3"/>
  <c r="J28" i="3"/>
  <c r="E29" i="3"/>
  <c r="F29" i="3"/>
  <c r="G29" i="3"/>
  <c r="J29" i="3"/>
  <c r="E30" i="3"/>
  <c r="F30" i="3"/>
  <c r="G30" i="3"/>
  <c r="K30" i="3"/>
  <c r="E31" i="3"/>
  <c r="F31" i="3"/>
  <c r="G31" i="3"/>
  <c r="K31" i="3"/>
  <c r="E32" i="3"/>
  <c r="F32" i="3"/>
  <c r="G32" i="3"/>
  <c r="K32" i="3"/>
  <c r="E33" i="3"/>
  <c r="F33" i="3"/>
  <c r="G33" i="3"/>
  <c r="J33" i="3"/>
  <c r="E35" i="3"/>
  <c r="F35" i="3"/>
  <c r="G35" i="3"/>
  <c r="J35" i="3"/>
  <c r="E36" i="3"/>
  <c r="F36" i="3"/>
  <c r="G36" i="3"/>
  <c r="J36" i="3"/>
  <c r="E37" i="3"/>
  <c r="F37" i="3"/>
  <c r="G37" i="3"/>
  <c r="J37" i="3"/>
  <c r="E23" i="3"/>
  <c r="F23" i="3"/>
  <c r="E25" i="3"/>
  <c r="F25" i="3"/>
  <c r="E26" i="3"/>
  <c r="F26" i="3"/>
  <c r="G11" i="3"/>
  <c r="F11" i="3"/>
  <c r="Q27" i="3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E16" i="4"/>
  <c r="G26" i="4"/>
  <c r="C26" i="4"/>
  <c r="E26" i="4"/>
  <c r="G17" i="4"/>
  <c r="C17" i="4"/>
  <c r="E17" i="4"/>
  <c r="G18" i="4"/>
  <c r="C18" i="4"/>
  <c r="E18" i="4"/>
  <c r="G27" i="4"/>
  <c r="C27" i="4"/>
  <c r="E27" i="4"/>
  <c r="G19" i="4"/>
  <c r="C19" i="4"/>
  <c r="E19" i="4"/>
  <c r="G20" i="4"/>
  <c r="C20" i="4"/>
  <c r="E20" i="4"/>
  <c r="G21" i="4"/>
  <c r="C21" i="4"/>
  <c r="E21" i="4"/>
  <c r="G22" i="4"/>
  <c r="C22" i="4"/>
  <c r="E22" i="4"/>
  <c r="G23" i="4"/>
  <c r="C23" i="4"/>
  <c r="E23" i="4"/>
  <c r="G24" i="4"/>
  <c r="C24" i="4"/>
  <c r="E24" i="4"/>
  <c r="G25" i="4"/>
  <c r="C25" i="4"/>
  <c r="E25" i="4"/>
  <c r="G11" i="4"/>
  <c r="C11" i="4"/>
  <c r="E11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27" i="4"/>
  <c r="B27" i="4"/>
  <c r="D27" i="4"/>
  <c r="A27" i="4"/>
  <c r="H18" i="4"/>
  <c r="D18" i="4"/>
  <c r="B18" i="4"/>
  <c r="A18" i="4"/>
  <c r="H17" i="4"/>
  <c r="B17" i="4"/>
  <c r="D17" i="4"/>
  <c r="A17" i="4"/>
  <c r="H26" i="4"/>
  <c r="D26" i="4"/>
  <c r="B26" i="4"/>
  <c r="A26" i="4"/>
  <c r="H16" i="4"/>
  <c r="B16" i="4"/>
  <c r="D16" i="4"/>
  <c r="A16" i="4"/>
  <c r="H15" i="4"/>
  <c r="D15" i="4"/>
  <c r="B15" i="4"/>
  <c r="A15" i="4"/>
  <c r="H14" i="4"/>
  <c r="B14" i="4"/>
  <c r="D14" i="4"/>
  <c r="A14" i="4"/>
  <c r="H13" i="4"/>
  <c r="D13" i="4"/>
  <c r="B13" i="4"/>
  <c r="A13" i="4"/>
  <c r="H12" i="4"/>
  <c r="B12" i="4"/>
  <c r="D12" i="4"/>
  <c r="A12" i="4"/>
  <c r="H11" i="4"/>
  <c r="D11" i="4"/>
  <c r="B11" i="4"/>
  <c r="A11" i="4"/>
  <c r="Q33" i="3"/>
  <c r="Q36" i="3"/>
  <c r="Q37" i="3"/>
  <c r="Q35" i="3"/>
  <c r="B35" i="3"/>
  <c r="E14" i="3"/>
  <c r="E15" i="3" s="1"/>
  <c r="C17" i="3"/>
  <c r="Q21" i="3"/>
  <c r="Q22" i="3"/>
  <c r="Q23" i="3"/>
  <c r="Q24" i="3"/>
  <c r="Q25" i="3"/>
  <c r="Q26" i="3"/>
  <c r="Q34" i="3"/>
  <c r="Q28" i="3"/>
  <c r="Q29" i="3"/>
  <c r="Q31" i="3"/>
  <c r="Q30" i="3"/>
  <c r="Q32" i="3"/>
  <c r="E25" i="1"/>
  <c r="F25" i="1"/>
  <c r="G25" i="1"/>
  <c r="H25" i="1"/>
  <c r="F11" i="1"/>
  <c r="Q25" i="1"/>
  <c r="E25" i="2"/>
  <c r="F25" i="2"/>
  <c r="G25" i="2"/>
  <c r="H25" i="2"/>
  <c r="F11" i="2"/>
  <c r="Q25" i="2"/>
  <c r="E21" i="2"/>
  <c r="F21" i="2"/>
  <c r="G21" i="2"/>
  <c r="H21" i="2"/>
  <c r="E22" i="2"/>
  <c r="F22" i="2"/>
  <c r="G22" i="2"/>
  <c r="H22" i="2"/>
  <c r="E23" i="2"/>
  <c r="F23" i="2"/>
  <c r="G23" i="2"/>
  <c r="E24" i="2"/>
  <c r="F24" i="2"/>
  <c r="G24" i="2"/>
  <c r="I24" i="2"/>
  <c r="G11" i="2"/>
  <c r="E15" i="2"/>
  <c r="C17" i="2"/>
  <c r="Q21" i="2"/>
  <c r="Q22" i="2"/>
  <c r="H23" i="2"/>
  <c r="Q23" i="2"/>
  <c r="Q24" i="2"/>
  <c r="E24" i="1"/>
  <c r="F24" i="1"/>
  <c r="G24" i="1"/>
  <c r="I24" i="1"/>
  <c r="Q24" i="1"/>
  <c r="E21" i="1"/>
  <c r="F21" i="1"/>
  <c r="G21" i="1"/>
  <c r="H21" i="1"/>
  <c r="E22" i="1"/>
  <c r="F22" i="1"/>
  <c r="G22" i="1"/>
  <c r="H22" i="1"/>
  <c r="E23" i="1"/>
  <c r="F23" i="1"/>
  <c r="G23" i="1"/>
  <c r="H23" i="1"/>
  <c r="G11" i="1"/>
  <c r="Q21" i="1"/>
  <c r="Q22" i="1"/>
  <c r="Q23" i="1"/>
  <c r="E15" i="1"/>
  <c r="C17" i="1"/>
  <c r="C11" i="3"/>
  <c r="C11" i="2"/>
  <c r="C11" i="1"/>
  <c r="C12" i="2"/>
  <c r="C12" i="3"/>
  <c r="C12" i="1"/>
  <c r="C16" i="1" l="1"/>
  <c r="D18" i="1" s="1"/>
  <c r="C16" i="3"/>
  <c r="D18" i="3" s="1"/>
  <c r="C16" i="2"/>
  <c r="D18" i="2" s="1"/>
  <c r="O23" i="1"/>
  <c r="R23" i="1" s="1"/>
  <c r="O22" i="1"/>
  <c r="R22" i="1" s="1"/>
  <c r="O25" i="1"/>
  <c r="R25" i="1" s="1"/>
  <c r="C15" i="1"/>
  <c r="O24" i="1"/>
  <c r="R24" i="1" s="1"/>
  <c r="O21" i="1"/>
  <c r="R21" i="1" s="1"/>
  <c r="O21" i="2"/>
  <c r="R21" i="2" s="1"/>
  <c r="O24" i="2"/>
  <c r="R24" i="2" s="1"/>
  <c r="O25" i="2"/>
  <c r="R25" i="2" s="1"/>
  <c r="C15" i="2"/>
  <c r="O23" i="2"/>
  <c r="R23" i="2" s="1"/>
  <c r="O22" i="2"/>
  <c r="R22" i="2" s="1"/>
  <c r="O24" i="3"/>
  <c r="R24" i="3" s="1"/>
  <c r="O26" i="3"/>
  <c r="R26" i="3" s="1"/>
  <c r="O32" i="3"/>
  <c r="R32" i="3" s="1"/>
  <c r="O28" i="3"/>
  <c r="R28" i="3" s="1"/>
  <c r="C15" i="3"/>
  <c r="O21" i="3"/>
  <c r="R21" i="3" s="1"/>
  <c r="O25" i="3"/>
  <c r="R25" i="3" s="1"/>
  <c r="O35" i="3"/>
  <c r="R35" i="3" s="1"/>
  <c r="O27" i="3"/>
  <c r="R27" i="3" s="1"/>
  <c r="O22" i="3"/>
  <c r="R22" i="3" s="1"/>
  <c r="O34" i="3"/>
  <c r="R34" i="3" s="1"/>
  <c r="O33" i="3"/>
  <c r="R33" i="3" s="1"/>
  <c r="O30" i="3"/>
  <c r="R30" i="3" s="1"/>
  <c r="O37" i="3"/>
  <c r="R37" i="3" s="1"/>
  <c r="O29" i="3"/>
  <c r="R29" i="3" s="1"/>
  <c r="O23" i="3"/>
  <c r="R23" i="3" s="1"/>
  <c r="O36" i="3"/>
  <c r="R36" i="3" s="1"/>
  <c r="O31" i="3"/>
  <c r="R31" i="3" s="1"/>
  <c r="O38" i="3"/>
  <c r="R38" i="3" s="1"/>
  <c r="R19" i="1" l="1"/>
  <c r="R19" i="2"/>
  <c r="E16" i="1"/>
  <c r="E17" i="1" s="1"/>
  <c r="C18" i="1"/>
  <c r="R19" i="3"/>
  <c r="E16" i="3"/>
  <c r="E17" i="3" s="1"/>
  <c r="C18" i="3"/>
  <c r="C18" i="2"/>
  <c r="E16" i="2"/>
  <c r="E17" i="2" s="1"/>
</calcChain>
</file>

<file path=xl/sharedStrings.xml><?xml version="1.0" encoding="utf-8"?>
<sst xmlns="http://schemas.openxmlformats.org/spreadsheetml/2006/main" count="362" uniqueCount="156">
  <si>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</si>
  <si>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</si>
  <si>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</si>
  <si>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</si>
  <si>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</si>
  <si>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</si>
  <si>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</si>
  <si>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</si>
  <si>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</si>
  <si>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</si>
  <si>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</si>
  <si>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</si>
  <si>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</si>
  <si>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</si>
  <si>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</si>
  <si>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</si>
  <si>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</si>
  <si>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</si>
  <si>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</si>
  <si>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</si>
  <si>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</si>
  <si>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</si>
  <si>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</si>
  <si>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</si>
  <si>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</si>
  <si>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</si>
  <si>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</si>
  <si>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</si>
  <si>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</si>
  <si>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</si>
  <si>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</si>
  <si>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</si>
  <si>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</si>
  <si>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</si>
  <si>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</si>
  <si>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</si>
  <si>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</si>
  <si>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</si>
  <si>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</si>
  <si>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From ToMcat</t>
  </si>
  <si>
    <t>not avail.</t>
  </si>
  <si>
    <t>EW</t>
  </si>
  <si>
    <t>QW And / GSC 2816-1950</t>
  </si>
  <si>
    <t>IBVS 5731</t>
  </si>
  <si>
    <t>IBVS 5871</t>
  </si>
  <si>
    <t>II</t>
  </si>
  <si>
    <t>I</t>
  </si>
  <si>
    <t>OEJV</t>
  </si>
  <si>
    <t>OEJV 0094</t>
  </si>
  <si>
    <t>Best period?</t>
  </si>
  <si>
    <t>IBVS 5960</t>
  </si>
  <si>
    <t>From ToMcat 2011-06-30</t>
  </si>
  <si>
    <t>IBVS 4324</t>
  </si>
  <si>
    <t>PE</t>
  </si>
  <si>
    <t>IBVS 6011</t>
  </si>
  <si>
    <t>Add cycle</t>
  </si>
  <si>
    <t>Old Cycle</t>
  </si>
  <si>
    <t>IBVS 6118</t>
  </si>
  <si>
    <t>From ToMcat 2015-02-03</t>
  </si>
  <si>
    <t>IBVS 6152</t>
  </si>
  <si>
    <t>IBVS 5984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</si>
  <si>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</si>
  <si>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</si>
  <si>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</si>
  <si>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</si>
  <si>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</si>
  <si>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</si>
  <si>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</si>
  <si>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</si>
  <si>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</si>
  <si>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</si>
  <si>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</si>
  <si>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2450053.4277 </t>
  </si>
  <si>
    <t> 01.12.1995 22:15 </t>
  </si>
  <si>
    <t> 0.0020 </t>
  </si>
  <si>
    <t>E </t>
  </si>
  <si>
    <t>G</t>
  </si>
  <si>
    <t> J.Vidal-Sainz et al. </t>
  </si>
  <si>
    <t>IBVS 4324 </t>
  </si>
  <si>
    <t>2450057.3603 </t>
  </si>
  <si>
    <t> 05.12.1995 20:38 </t>
  </si>
  <si>
    <t> -0.0004 </t>
  </si>
  <si>
    <t>2450069.4096 </t>
  </si>
  <si>
    <t> 17.12.1995 21:49 </t>
  </si>
  <si>
    <t> -0.0019 </t>
  </si>
  <si>
    <t>2450080.4772 </t>
  </si>
  <si>
    <t> 28.12.1995 23:27 </t>
  </si>
  <si>
    <t> -0.0013 </t>
  </si>
  <si>
    <t>2450116.3858 </t>
  </si>
  <si>
    <t> 02.02.1996 21:15 </t>
  </si>
  <si>
    <t> 0.0008 </t>
  </si>
  <si>
    <t>B</t>
  </si>
  <si>
    <t>2450130.4065 </t>
  </si>
  <si>
    <t> 16.02.1996 21:45 </t>
  </si>
  <si>
    <t> 0.0033 </t>
  </si>
  <si>
    <t>2452194.283 </t>
  </si>
  <si>
    <t> 11.10.2001 18:47 </t>
  </si>
  <si>
    <t>?</t>
  </si>
  <si>
    <t> R.Diethelm </t>
  </si>
  <si>
    <t> BBS 126 </t>
  </si>
  <si>
    <t>2453662.2684 </t>
  </si>
  <si>
    <t> 18.10.2005 18:26 </t>
  </si>
  <si>
    <t> -0.0002 </t>
  </si>
  <si>
    <t>C </t>
  </si>
  <si>
    <t>-I</t>
  </si>
  <si>
    <t> F.Agerer </t>
  </si>
  <si>
    <t>BAVM 178 </t>
  </si>
  <si>
    <t>2453662.5172 </t>
  </si>
  <si>
    <t> 19.10.2005 00:24 </t>
  </si>
  <si>
    <t>2362.5</t>
  </si>
  <si>
    <t> 0.0027 </t>
  </si>
  <si>
    <t>2454749.2991 </t>
  </si>
  <si>
    <t> 09.10.2008 19:10 </t>
  </si>
  <si>
    <t>4572</t>
  </si>
  <si>
    <t> 0.0000 </t>
  </si>
  <si>
    <t>R</t>
  </si>
  <si>
    <t> R.Ehrenberger </t>
  </si>
  <si>
    <t>OEJV 0094 </t>
  </si>
  <si>
    <t>2454800.7044 </t>
  </si>
  <si>
    <t> 30.11.2008 04:54 </t>
  </si>
  <si>
    <t>4676.5</t>
  </si>
  <si>
    <t> 0.0050 </t>
  </si>
  <si>
    <t>IBVS 5871 </t>
  </si>
  <si>
    <t>2455469.9016 </t>
  </si>
  <si>
    <t> 30.09.2010 09:38 </t>
  </si>
  <si>
    <t>6037</t>
  </si>
  <si>
    <t> 0.0144 </t>
  </si>
  <si>
    <t>IBVS 5960 </t>
  </si>
  <si>
    <t>2455478.5025 </t>
  </si>
  <si>
    <t> 09.10.2010 00:03 </t>
  </si>
  <si>
    <t>6054.5</t>
  </si>
  <si>
    <t> 0.0076 </t>
  </si>
  <si>
    <t>BAVM 215 </t>
  </si>
  <si>
    <t>2455903.7220 </t>
  </si>
  <si>
    <t> 08.12.2011 05:19 </t>
  </si>
  <si>
    <t>6919</t>
  </si>
  <si>
    <t> 0.0064 </t>
  </si>
  <si>
    <t>IBVS 6011 </t>
  </si>
  <si>
    <t>2456650.3778 </t>
  </si>
  <si>
    <t> 23.12.2013 21:04 </t>
  </si>
  <si>
    <t>8437</t>
  </si>
  <si>
    <t>BAVM 234 </t>
  </si>
  <si>
    <t>2456917.4619 </t>
  </si>
  <si>
    <t> 16.09.2014 23:05 </t>
  </si>
  <si>
    <t>8980</t>
  </si>
  <si>
    <t> 0.0043 </t>
  </si>
  <si>
    <t>o</t>
  </si>
  <si>
    <t> W.Moschner &amp; P.Frank </t>
  </si>
  <si>
    <t>BAVM 239 </t>
  </si>
  <si>
    <t>2456983.3729 </t>
  </si>
  <si>
    <t> 21.11.2014 20:56 </t>
  </si>
  <si>
    <t>9114</t>
  </si>
  <si>
    <t> 0.0048 </t>
  </si>
  <si>
    <t>CCD?</t>
  </si>
  <si>
    <t>BAD?</t>
  </si>
  <si>
    <t>diff^2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</si>
</sst>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8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And - O-C Diagr.</a:t>
            </a:r>
          </a:p>
        </c:rich>
      </c:tx>
      <c:layout>
        <c:manualLayout>
          <c:xMode val="edge"/>
          <c:yMode val="edge"/>
          <c:x val="0.3813820119331929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68180145252887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E-44C9-8EAB-9E6F0DE7FC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  <c:pt idx="6">
                  <c:v>-3.5749999995459802E-2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E-44C9-8EAB-9E6F0DE7FC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7">
                  <c:v>-3.6364999999932479E-2</c:v>
                </c:pt>
                <c:pt idx="8">
                  <c:v>-3.3499999997729901E-2</c:v>
                </c:pt>
                <c:pt idx="12">
                  <c:v>-3.223999999318039E-2</c:v>
                </c:pt>
                <c:pt idx="14">
                  <c:v>-3.7214999996649567E-2</c:v>
                </c:pt>
                <c:pt idx="15">
                  <c:v>-3.8524999996297993E-2</c:v>
                </c:pt>
                <c:pt idx="16">
                  <c:v>-3.8104999999632128E-2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E-44C9-8EAB-9E6F0DE7FC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0">
                  <c:v>-2.6874999995925464E-2</c:v>
                </c:pt>
                <c:pt idx="1">
                  <c:v>-2.923499999451451E-2</c:v>
                </c:pt>
                <c:pt idx="3">
                  <c:v>-3.0224999994970858E-2</c:v>
                </c:pt>
                <c:pt idx="9">
                  <c:v>-3.831499999796506E-2</c:v>
                </c:pt>
                <c:pt idx="10">
                  <c:v>-3.3479999998235144E-2</c:v>
                </c:pt>
                <c:pt idx="11">
                  <c:v>-2.5415000003704336E-2</c:v>
                </c:pt>
                <c:pt idx="13">
                  <c:v>-3.4354999996139668E-2</c:v>
                </c:pt>
                <c:pt idx="17">
                  <c:v>-3.8619999999355059E-2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E-44C9-8EAB-9E6F0DE7FC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E-44C9-8EAB-9E6F0DE7FC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9E-44C9-8EAB-9E6F0DE7FC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1E-4</c:v>
                  </c:pt>
                  <c:pt idx="8">
                    <c:v>2E-3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4.1000000000000003E-3</c:v>
                  </c:pt>
                  <c:pt idx="13">
                    <c:v>4.0000000000000002E-4</c:v>
                  </c:pt>
                  <c:pt idx="14">
                    <c:v>1.2999999999999999E-3</c:v>
                  </c:pt>
                  <c:pt idx="15">
                    <c:v>2.0000000000000001E-4</c:v>
                  </c:pt>
                  <c:pt idx="16">
                    <c:v>2.9999999999999997E-4</c:v>
                  </c:pt>
                  <c:pt idx="17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9E-44C9-8EAB-9E6F0DE7FC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-2.9579003779248318E-2</c:v>
                </c:pt>
                <c:pt idx="1">
                  <c:v>-2.958297902859609E-2</c:v>
                </c:pt>
                <c:pt idx="2">
                  <c:v>-2.9595153229723638E-2</c:v>
                </c:pt>
                <c:pt idx="3">
                  <c:v>-2.9606333618514245E-2</c:v>
                </c:pt>
                <c:pt idx="4">
                  <c:v>-2.9642607768812654E-2</c:v>
                </c:pt>
                <c:pt idx="5">
                  <c:v>-2.965676959461409E-2</c:v>
                </c:pt>
                <c:pt idx="6">
                  <c:v>-3.1741787877519995E-2</c:v>
                </c:pt>
                <c:pt idx="7">
                  <c:v>-3.3224804337322819E-2</c:v>
                </c:pt>
                <c:pt idx="8">
                  <c:v>-3.3225052790407057E-2</c:v>
                </c:pt>
                <c:pt idx="9">
                  <c:v>-3.4322966969644569E-2</c:v>
                </c:pt>
                <c:pt idx="10">
                  <c:v>-3.4374893664249825E-2</c:v>
                </c:pt>
                <c:pt idx="11">
                  <c:v>-3.5050934506455134E-2</c:v>
                </c:pt>
                <c:pt idx="12">
                  <c:v>-3.5059630364403384E-2</c:v>
                </c:pt>
                <c:pt idx="13">
                  <c:v>-3.5489205747046892E-2</c:v>
                </c:pt>
                <c:pt idx="14">
                  <c:v>-3.6243509310786445E-2</c:v>
                </c:pt>
                <c:pt idx="15">
                  <c:v>-3.6513329360266404E-2</c:v>
                </c:pt>
                <c:pt idx="16">
                  <c:v>-3.6579914786841569E-2</c:v>
                </c:pt>
                <c:pt idx="17">
                  <c:v>-3.762565381838958E-2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9E-44C9-8EAB-9E6F0DE7FC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-10055</c:v>
                </c:pt>
                <c:pt idx="1">
                  <c:v>-10039</c:v>
                </c:pt>
                <c:pt idx="2">
                  <c:v>-9990</c:v>
                </c:pt>
                <c:pt idx="3">
                  <c:v>-9945</c:v>
                </c:pt>
                <c:pt idx="4">
                  <c:v>-9799</c:v>
                </c:pt>
                <c:pt idx="5">
                  <c:v>-9742</c:v>
                </c:pt>
                <c:pt idx="6">
                  <c:v>-1350</c:v>
                </c:pt>
                <c:pt idx="7">
                  <c:v>4619</c:v>
                </c:pt>
                <c:pt idx="8">
                  <c:v>4620</c:v>
                </c:pt>
                <c:pt idx="9">
                  <c:v>9039</c:v>
                </c:pt>
                <c:pt idx="10">
                  <c:v>9248</c:v>
                </c:pt>
                <c:pt idx="11">
                  <c:v>11969</c:v>
                </c:pt>
                <c:pt idx="12">
                  <c:v>12004</c:v>
                </c:pt>
                <c:pt idx="13">
                  <c:v>13733</c:v>
                </c:pt>
                <c:pt idx="14">
                  <c:v>16769</c:v>
                </c:pt>
                <c:pt idx="15">
                  <c:v>17855</c:v>
                </c:pt>
                <c:pt idx="16">
                  <c:v>18123</c:v>
                </c:pt>
                <c:pt idx="17">
                  <c:v>22332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  <c:pt idx="2">
                  <c:v>-4.6138999998220243E-2</c:v>
                </c:pt>
                <c:pt idx="4">
                  <c:v>-5.7631000003311783E-2</c:v>
                </c:pt>
                <c:pt idx="5">
                  <c:v>-5.7452000000921544E-2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9E-44C9-8EAB-9E6F0DE7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02072"/>
        <c:axId val="1"/>
      </c:scatterChart>
      <c:valAx>
        <c:axId val="588202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02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397937099967764"/>
          <c:w val="0.722223325687892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And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(old)'!$H$21:$H$981</c:f>
              <c:numCache>
                <c:formatCode>General</c:formatCode>
                <c:ptCount val="961"/>
                <c:pt idx="0">
                  <c:v>-3.7200000006123446E-3</c:v>
                </c:pt>
                <c:pt idx="1">
                  <c:v>4.4400000042514876E-3</c:v>
                </c:pt>
                <c:pt idx="2">
                  <c:v>-3.5559999996621627E-2</c:v>
                </c:pt>
                <c:pt idx="4">
                  <c:v>-5.8199999999487773E-2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4D-4922-9E29-782050B23EB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(old)'!$I$21:$I$981</c:f>
              <c:numCache>
                <c:formatCode>General</c:formatCode>
                <c:ptCount val="961"/>
                <c:pt idx="3">
                  <c:v>5.6150000003981404E-2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4D-4922-9E29-782050B23EB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4D-4922-9E29-782050B23EB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4D-4922-9E29-782050B23EB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4D-4922-9E29-782050B23EB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4D-4922-9E29-782050B23EB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(old)'!$D$21:$D$981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4D-4922-9E29-782050B23EB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(old)'!$F$21:$F$981</c:f>
              <c:numCache>
                <c:formatCode>General</c:formatCode>
                <c:ptCount val="961"/>
                <c:pt idx="0">
                  <c:v>4720.5</c:v>
                </c:pt>
                <c:pt idx="1">
                  <c:v>4721.5</c:v>
                </c:pt>
                <c:pt idx="2">
                  <c:v>9451.5</c:v>
                </c:pt>
                <c:pt idx="3">
                  <c:v>9237.5</c:v>
                </c:pt>
                <c:pt idx="4">
                  <c:v>12232.5</c:v>
                </c:pt>
              </c:numCache>
            </c:numRef>
          </c:xVal>
          <c:yVal>
            <c:numRef>
              <c:f>'A (old)'!$O$21:$O$981</c:f>
              <c:numCache>
                <c:formatCode>General</c:formatCode>
                <c:ptCount val="961"/>
                <c:pt idx="0">
                  <c:v>1.0394844593375314E-2</c:v>
                </c:pt>
                <c:pt idx="1">
                  <c:v>1.0389542748440325E-2</c:v>
                </c:pt>
                <c:pt idx="2">
                  <c:v>-1.4688183794061817E-2</c:v>
                </c:pt>
                <c:pt idx="3">
                  <c:v>-1.3553588977973978E-2</c:v>
                </c:pt>
                <c:pt idx="4">
                  <c:v>-2.9432614558268677E-2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4D-4922-9E29-782050B23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01712"/>
        <c:axId val="1"/>
      </c:scatterChart>
      <c:valAx>
        <c:axId val="588201712"/>
        <c:scaling>
          <c:orientation val="minMax"/>
          <c:max val="10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0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759398496240602"/>
          <c:y val="0.92375366568914952"/>
          <c:w val="0.89323308270676693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And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(2)'!$D$21:$D$221</c:f>
                <c:numCache>
                  <c:formatCode>General</c:formatCode>
                  <c:ptCount val="20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(2)'!$H$21:$H$981</c:f>
              <c:numCache>
                <c:formatCode>General</c:formatCode>
                <c:ptCount val="961"/>
                <c:pt idx="0">
                  <c:v>-9.01999999769032E-3</c:v>
                </c:pt>
                <c:pt idx="1">
                  <c:v>-9.139999994658865E-3</c:v>
                </c:pt>
                <c:pt idx="2">
                  <c:v>-8.6399999927380122E-3</c:v>
                </c:pt>
                <c:pt idx="4">
                  <c:v>-3.2859999999345746E-2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C-45E1-A266-5E11AB40FB8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(2)'!$I$21:$I$981</c:f>
              <c:numCache>
                <c:formatCode>General</c:formatCode>
                <c:ptCount val="961"/>
                <c:pt idx="3">
                  <c:v>-1.1910000001080334E-2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C-45E1-A266-5E11AB40FB8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FC-45E1-A266-5E11AB40FB8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(2)'!$K$21:$K$981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FC-45E1-A266-5E11AB40FB8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FC-45E1-A266-5E11AB40FB8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C-45E1-A266-5E11AB40FB8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plus>
            <c:minus>
              <c:numRef>
                <c:f>'A (2)'!$D$21:$D$981</c:f>
                <c:numCache>
                  <c:formatCode>General</c:formatCode>
                  <c:ptCount val="961"/>
                  <c:pt idx="0">
                    <c:v>1E-4</c:v>
                  </c:pt>
                  <c:pt idx="1">
                    <c:v>2E-3</c:v>
                  </c:pt>
                  <c:pt idx="2">
                    <c:v>6.9999999999999999E-4</c:v>
                  </c:pt>
                  <c:pt idx="3">
                    <c:v>5.9999999999999995E-4</c:v>
                  </c:pt>
                  <c:pt idx="4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FC-45E1-A266-5E11AB40FB8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(2)'!$F$21:$F$981</c:f>
              <c:numCache>
                <c:formatCode>General</c:formatCode>
                <c:ptCount val="961"/>
                <c:pt idx="0">
                  <c:v>4563.5</c:v>
                </c:pt>
                <c:pt idx="1">
                  <c:v>4564.5</c:v>
                </c:pt>
                <c:pt idx="2">
                  <c:v>9137</c:v>
                </c:pt>
                <c:pt idx="3">
                  <c:v>8930.5</c:v>
                </c:pt>
                <c:pt idx="4">
                  <c:v>11825.5</c:v>
                </c:pt>
              </c:numCache>
            </c:numRef>
          </c:xVal>
          <c:yVal>
            <c:numRef>
              <c:f>'A (2)'!$O$21:$O$981</c:f>
              <c:numCache>
                <c:formatCode>General</c:formatCode>
                <c:ptCount val="961"/>
                <c:pt idx="0">
                  <c:v>-6.3981094750348542E-3</c:v>
                </c:pt>
                <c:pt idx="1">
                  <c:v>-6.4005521233892436E-3</c:v>
                </c:pt>
                <c:pt idx="2">
                  <c:v>-1.7569561723832058E-2</c:v>
                </c:pt>
                <c:pt idx="3">
                  <c:v>-1.7065154838650769E-2</c:v>
                </c:pt>
                <c:pt idx="4">
                  <c:v>-2.4136621824606359E-2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FC-45E1-A266-5E11AB40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03152"/>
        <c:axId val="1"/>
      </c:scatterChart>
      <c:valAx>
        <c:axId val="588203152"/>
        <c:scaling>
          <c:orientation val="minMax"/>
          <c:max val="12000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03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0</xdr:rowOff>
    </xdr:from>
    <xdr:to>
      <xdr:col>17</xdr:col>
      <xdr:colOff>466725</xdr:colOff>
      <xdr:row>19</xdr:row>
      <xdr:rowOff>9525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8DB71DC7-87DB-04A9-A0CB-CF266A939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25AD187-7868-0F9A-4615-1589971CB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7B45B67E-52C9-849E-7AD7-2490F7A8C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4324" TargetMode="External"/><Relationship Id="rId7" Type="http://schemas.openxmlformats.org/officeDocument/2006/relationships/hyperlink" Target="http://www.konkoly.hu/cgi-bin/IBVS?4324" TargetMode="External"/><Relationship Id="rId12" Type="http://schemas.openxmlformats.org/officeDocument/2006/relationships/hyperlink" Target="http://www.konkoly.hu/cgi-bin/IBVS?5960" TargetMode="External"/><Relationship Id="rId17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324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324" TargetMode="External"/><Relationship Id="rId11" Type="http://schemas.openxmlformats.org/officeDocument/2006/relationships/hyperlink" Target="http://www.konkoly.hu/cgi-bin/IBVS?5871" TargetMode="External"/><Relationship Id="rId5" Type="http://schemas.openxmlformats.org/officeDocument/2006/relationships/hyperlink" Target="http://www.konkoly.hu/cgi-bin/IBVS?4324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094.pdf" TargetMode="External"/><Relationship Id="rId4" Type="http://schemas.openxmlformats.org/officeDocument/2006/relationships/hyperlink" Target="http://www.konkoly.hu/cgi-bin/IBVS?4324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W6921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0.25" x14ac:dyDescent="0.3">
      <c r="A1" s="1" t="s">
        <v>42</v>
      </c>
    </row>
    <row r="2" spans="1:23" x14ac:dyDescent="0.2">
      <c r="A2" t="s">
        <v>25</v>
      </c>
      <c r="B2" t="s">
        <v>41</v>
      </c>
      <c r="C2" s="33" t="s">
        <v>49</v>
      </c>
      <c r="D2" s="3"/>
      <c r="V2">
        <v>0.24535199999999999</v>
      </c>
      <c r="W2">
        <v>2.25473041603423E-3</v>
      </c>
    </row>
    <row r="3" spans="1:23" ht="13.5" thickBot="1" x14ac:dyDescent="0.25">
      <c r="C3" s="29"/>
      <c r="V3">
        <v>0.24716399999999999</v>
      </c>
      <c r="W3">
        <v>2.1566740681806433E-3</v>
      </c>
    </row>
    <row r="4" spans="1:23" ht="14.25" thickTop="1" thickBot="1" x14ac:dyDescent="0.25">
      <c r="A4" s="5" t="s">
        <v>1</v>
      </c>
      <c r="C4" s="8" t="s">
        <v>40</v>
      </c>
      <c r="D4" s="9" t="s">
        <v>40</v>
      </c>
      <c r="V4">
        <v>0.25012299999999998</v>
      </c>
      <c r="W4">
        <v>2.4112897368704978E-3</v>
      </c>
    </row>
    <row r="5" spans="1:23" x14ac:dyDescent="0.2">
      <c r="C5" s="40">
        <v>0.25262200000000001</v>
      </c>
      <c r="D5" s="40" t="s">
        <v>51</v>
      </c>
      <c r="E5" s="40"/>
      <c r="V5">
        <v>0.25262200000000001</v>
      </c>
      <c r="W5">
        <v>2.0644091852143366E-3</v>
      </c>
    </row>
    <row r="6" spans="1:23" x14ac:dyDescent="0.2">
      <c r="A6" s="5" t="s">
        <v>2</v>
      </c>
    </row>
    <row r="7" spans="1:23" x14ac:dyDescent="0.2">
      <c r="A7" t="s">
        <v>3</v>
      </c>
      <c r="C7">
        <v>52526.330999999998</v>
      </c>
    </row>
    <row r="8" spans="1:23" x14ac:dyDescent="0.2">
      <c r="A8" t="s">
        <v>4</v>
      </c>
      <c r="C8">
        <v>0.24593499999999999</v>
      </c>
      <c r="D8" s="29" t="s">
        <v>58</v>
      </c>
    </row>
    <row r="9" spans="1:23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23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23" x14ac:dyDescent="0.2">
      <c r="A11" s="12" t="s">
        <v>16</v>
      </c>
      <c r="B11" s="12"/>
      <c r="C11" s="24">
        <f ca="1">INTERCEPT(INDIRECT($G$11):G991,INDIRECT($F$11):F991)</f>
        <v>-3.2077199541238173E-2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3" x14ac:dyDescent="0.2">
      <c r="A12" s="12" t="s">
        <v>17</v>
      </c>
      <c r="B12" s="12"/>
      <c r="C12" s="24">
        <f ca="1">SLOPE(INDIRECT($G$11):G991,INDIRECT($F$11):F991)</f>
        <v>-2.4845308423568914E-7</v>
      </c>
      <c r="D12" s="3"/>
      <c r="E12" s="12"/>
    </row>
    <row r="13" spans="1:23" x14ac:dyDescent="0.2">
      <c r="A13" s="12" t="s">
        <v>20</v>
      </c>
      <c r="B13" s="12"/>
      <c r="C13" s="3" t="s">
        <v>14</v>
      </c>
      <c r="D13" s="16" t="s">
        <v>55</v>
      </c>
      <c r="E13" s="13">
        <v>1</v>
      </c>
    </row>
    <row r="14" spans="1:23" x14ac:dyDescent="0.2">
      <c r="A14" s="12"/>
      <c r="B14" s="12"/>
      <c r="C14" s="12"/>
      <c r="D14" s="16" t="s">
        <v>34</v>
      </c>
      <c r="E14" s="17">
        <f ca="1">NOW()+15018.5+$C$9/24</f>
        <v>60093.805772453699</v>
      </c>
    </row>
    <row r="15" spans="1:23" x14ac:dyDescent="0.2">
      <c r="A15" s="14" t="s">
        <v>18</v>
      </c>
      <c r="B15" s="12"/>
      <c r="C15" s="15">
        <f ca="1">(C7+C11)+(C8+C12)*INT(MAX(F21:F3532))</f>
        <v>58018.513794346181</v>
      </c>
      <c r="D15" s="16" t="s">
        <v>56</v>
      </c>
      <c r="E15" s="17">
        <f ca="1">ROUND(2*(E14-$C$7)/$C$8,0)/2+E13</f>
        <v>30771</v>
      </c>
    </row>
    <row r="16" spans="1:23" x14ac:dyDescent="0.2">
      <c r="A16" s="18" t="s">
        <v>5</v>
      </c>
      <c r="B16" s="12"/>
      <c r="C16" s="19">
        <f ca="1">+C8+C12</f>
        <v>0.24593475154691574</v>
      </c>
      <c r="D16" s="16" t="s">
        <v>35</v>
      </c>
      <c r="E16" s="26">
        <f ca="1">ROUND(2*(E14-$C$15)/$C$16,0)/2+E13</f>
        <v>8439.5</v>
      </c>
    </row>
    <row r="17" spans="1:23" ht="13.5" thickBot="1" x14ac:dyDescent="0.25">
      <c r="A17" s="16" t="s">
        <v>31</v>
      </c>
      <c r="B17" s="12"/>
      <c r="C17" s="12">
        <f>COUNT(C21:C2190)</f>
        <v>18</v>
      </c>
      <c r="D17" s="16" t="s">
        <v>36</v>
      </c>
      <c r="E17" s="20">
        <f ca="1">+$C$15+$C$16*E16-15018.5-$C$9/24</f>
        <v>45075.975963359713</v>
      </c>
    </row>
    <row r="18" spans="1:23" ht="14.25" thickTop="1" thickBot="1" x14ac:dyDescent="0.25">
      <c r="A18" s="18" t="s">
        <v>6</v>
      </c>
      <c r="B18" s="12"/>
      <c r="C18" s="21">
        <f ca="1">+C15</f>
        <v>58018.513794346181</v>
      </c>
      <c r="D18" s="22">
        <f ca="1">+C16</f>
        <v>0.24593475154691574</v>
      </c>
      <c r="E18" s="23" t="s">
        <v>37</v>
      </c>
    </row>
    <row r="19" spans="1:23" ht="13.5" thickTop="1" x14ac:dyDescent="0.2">
      <c r="A19" s="27" t="s">
        <v>38</v>
      </c>
      <c r="E19" s="28">
        <v>21</v>
      </c>
      <c r="R19">
        <f ca="1">SQRT(SUM(R21:R24)/(COUNT(R21:R24)-1))</f>
        <v>1.7162833571845143E-2</v>
      </c>
    </row>
    <row r="20" spans="1:23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67</v>
      </c>
      <c r="I20" s="7" t="s">
        <v>70</v>
      </c>
      <c r="J20" s="7" t="s">
        <v>53</v>
      </c>
      <c r="K20" s="7" t="s">
        <v>63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63" t="s">
        <v>155</v>
      </c>
      <c r="U20" s="62" t="s">
        <v>154</v>
      </c>
    </row>
    <row r="21" spans="1:23" x14ac:dyDescent="0.2">
      <c r="A21" s="46" t="s">
        <v>52</v>
      </c>
      <c r="B21" s="38" t="s">
        <v>46</v>
      </c>
      <c r="C21" s="37">
        <v>50053.4277</v>
      </c>
      <c r="D21" s="37" t="s">
        <v>53</v>
      </c>
      <c r="E21">
        <f t="shared" ref="E21:E37" si="0">+(C21-C$7)/C$8</f>
        <v>-10055.109276841435</v>
      </c>
      <c r="F21">
        <f t="shared" ref="F21:F38" si="1">ROUND(2*E21,0)/2</f>
        <v>-10055</v>
      </c>
      <c r="G21">
        <f>+C21-(C$7+F21*C$8)</f>
        <v>-2.6874999995925464E-2</v>
      </c>
      <c r="K21">
        <f>+G21</f>
        <v>-2.6874999995925464E-2</v>
      </c>
      <c r="O21">
        <f t="shared" ref="O21:O37" ca="1" si="2">+C$11+C$12*$F21</f>
        <v>-2.9579003779248318E-2</v>
      </c>
      <c r="Q21" s="2">
        <f t="shared" ref="Q21:Q37" si="3">+C21-15018.5</f>
        <v>35034.9277</v>
      </c>
      <c r="R21">
        <f t="shared" ref="R21:R37" ca="1" si="4">(O21-G21)^2</f>
        <v>7.3116364602243106E-6</v>
      </c>
      <c r="W21" t="s">
        <v>63</v>
      </c>
    </row>
    <row r="22" spans="1:23" x14ac:dyDescent="0.2">
      <c r="A22" s="46" t="s">
        <v>52</v>
      </c>
      <c r="B22" s="38" t="s">
        <v>46</v>
      </c>
      <c r="C22" s="37">
        <v>50057.3603</v>
      </c>
      <c r="D22" s="37" t="s">
        <v>53</v>
      </c>
      <c r="E22">
        <f t="shared" si="0"/>
        <v>-10039.118872872907</v>
      </c>
      <c r="F22">
        <f t="shared" si="1"/>
        <v>-10039</v>
      </c>
      <c r="G22">
        <f>+C22-(C$7+F22*C$8)</f>
        <v>-2.923499999451451E-2</v>
      </c>
      <c r="K22">
        <f>+G22</f>
        <v>-2.923499999451451E-2</v>
      </c>
      <c r="O22">
        <f t="shared" ca="1" si="2"/>
        <v>-2.958297902859609E-2</v>
      </c>
      <c r="Q22" s="2">
        <f t="shared" si="3"/>
        <v>35038.8603</v>
      </c>
      <c r="R22">
        <f t="shared" ca="1" si="4"/>
        <v>1.2108940816034911E-7</v>
      </c>
      <c r="W22" t="s">
        <v>63</v>
      </c>
    </row>
    <row r="23" spans="1:23" x14ac:dyDescent="0.2">
      <c r="A23" s="46" t="s">
        <v>52</v>
      </c>
      <c r="B23" s="38" t="s">
        <v>45</v>
      </c>
      <c r="C23" s="37">
        <v>50069.409599999999</v>
      </c>
      <c r="D23" s="37" t="s">
        <v>53</v>
      </c>
      <c r="E23">
        <f t="shared" si="0"/>
        <v>-9990.1250330371822</v>
      </c>
      <c r="F23">
        <f t="shared" si="1"/>
        <v>-9990</v>
      </c>
      <c r="O23">
        <f t="shared" ca="1" si="2"/>
        <v>-2.9595153229723638E-2</v>
      </c>
      <c r="Q23" s="2">
        <f t="shared" si="3"/>
        <v>35050.909599999999</v>
      </c>
      <c r="R23">
        <f t="shared" ca="1" si="4"/>
        <v>8.7587309469082148E-4</v>
      </c>
      <c r="U23" s="26">
        <v>-4.6138999998220243E-2</v>
      </c>
      <c r="W23" t="s">
        <v>63</v>
      </c>
    </row>
    <row r="24" spans="1:23" x14ac:dyDescent="0.2">
      <c r="A24" s="46" t="s">
        <v>52</v>
      </c>
      <c r="B24" s="38" t="s">
        <v>46</v>
      </c>
      <c r="C24" s="37">
        <v>50080.477200000001</v>
      </c>
      <c r="D24" s="37" t="s">
        <v>53</v>
      </c>
      <c r="E24">
        <f t="shared" si="0"/>
        <v>-9945.1228983267829</v>
      </c>
      <c r="F24">
        <f t="shared" si="1"/>
        <v>-9945</v>
      </c>
      <c r="G24">
        <f>+C24-(C$7+F24*C$8)</f>
        <v>-3.0224999994970858E-2</v>
      </c>
      <c r="K24">
        <f>+G24</f>
        <v>-3.0224999994970858E-2</v>
      </c>
      <c r="O24">
        <f t="shared" ca="1" si="2"/>
        <v>-2.9606333618514245E-2</v>
      </c>
      <c r="Q24" s="2">
        <f t="shared" si="3"/>
        <v>35061.977200000001</v>
      </c>
      <c r="R24">
        <f t="shared" ca="1" si="4"/>
        <v>3.8274808535795533E-7</v>
      </c>
      <c r="W24" t="s">
        <v>63</v>
      </c>
    </row>
    <row r="25" spans="1:23" x14ac:dyDescent="0.2">
      <c r="A25" s="46" t="s">
        <v>52</v>
      </c>
      <c r="B25" s="38" t="s">
        <v>46</v>
      </c>
      <c r="C25" s="37">
        <v>50116.385799999996</v>
      </c>
      <c r="D25" s="37" t="s">
        <v>53</v>
      </c>
      <c r="E25">
        <f t="shared" si="0"/>
        <v>-9799.114400146389</v>
      </c>
      <c r="F25">
        <f t="shared" si="1"/>
        <v>-9799</v>
      </c>
      <c r="O25">
        <f t="shared" ca="1" si="2"/>
        <v>-2.9642607768812654E-2</v>
      </c>
      <c r="Q25" s="2">
        <f t="shared" si="3"/>
        <v>35097.885799999996</v>
      </c>
      <c r="R25">
        <f t="shared" ca="1" si="4"/>
        <v>8.7868419533567224E-4</v>
      </c>
      <c r="U25" s="26">
        <v>-5.7631000003311783E-2</v>
      </c>
      <c r="W25" t="s">
        <v>63</v>
      </c>
    </row>
    <row r="26" spans="1:23" x14ac:dyDescent="0.2">
      <c r="A26" s="46" t="s">
        <v>52</v>
      </c>
      <c r="B26" s="38" t="s">
        <v>45</v>
      </c>
      <c r="C26" s="37">
        <v>50130.406499999997</v>
      </c>
      <c r="D26" s="37" t="s">
        <v>53</v>
      </c>
      <c r="E26">
        <f t="shared" si="0"/>
        <v>-9742.104621139737</v>
      </c>
      <c r="F26">
        <f t="shared" si="1"/>
        <v>-9742</v>
      </c>
      <c r="O26">
        <f t="shared" ca="1" si="2"/>
        <v>-2.965676959461409E-2</v>
      </c>
      <c r="Q26" s="2">
        <f t="shared" si="3"/>
        <v>35111.906499999997</v>
      </c>
      <c r="R26">
        <f t="shared" ca="1" si="4"/>
        <v>8.7952398278802674E-4</v>
      </c>
      <c r="U26" s="26">
        <v>-5.7452000000921544E-2</v>
      </c>
      <c r="W26" t="s">
        <v>63</v>
      </c>
    </row>
    <row r="27" spans="1:23" x14ac:dyDescent="0.2">
      <c r="A27" s="26" t="s">
        <v>99</v>
      </c>
      <c r="B27" t="s">
        <v>45</v>
      </c>
      <c r="C27" s="10">
        <v>52194.283000000003</v>
      </c>
      <c r="D27" s="10" t="s">
        <v>70</v>
      </c>
      <c r="E27">
        <f t="shared" si="0"/>
        <v>-1350.1453636123172</v>
      </c>
      <c r="F27">
        <f t="shared" si="1"/>
        <v>-1350</v>
      </c>
      <c r="G27">
        <f t="shared" ref="G27:G37" si="5">+C27-(C$7+F27*C$8)</f>
        <v>-3.5749999995459802E-2</v>
      </c>
      <c r="I27">
        <f>+G27</f>
        <v>-3.5749999995459802E-2</v>
      </c>
      <c r="O27">
        <f t="shared" ca="1" si="2"/>
        <v>-3.1741787877519995E-2</v>
      </c>
      <c r="Q27" s="2">
        <f t="shared" si="3"/>
        <v>37175.783000000003</v>
      </c>
      <c r="R27">
        <f t="shared" ca="1" si="4"/>
        <v>1.6065764382399519E-5</v>
      </c>
    </row>
    <row r="28" spans="1:23" x14ac:dyDescent="0.2">
      <c r="A28" s="30" t="s">
        <v>43</v>
      </c>
      <c r="B28" s="30"/>
      <c r="C28" s="30">
        <v>53662.268400000001</v>
      </c>
      <c r="D28" s="30">
        <v>1E-4</v>
      </c>
      <c r="E28">
        <f t="shared" si="0"/>
        <v>4618.8521357269301</v>
      </c>
      <c r="F28">
        <f t="shared" si="1"/>
        <v>4619</v>
      </c>
      <c r="G28">
        <f t="shared" si="5"/>
        <v>-3.6364999999932479E-2</v>
      </c>
      <c r="J28">
        <f>+G28</f>
        <v>-3.6364999999932479E-2</v>
      </c>
      <c r="O28">
        <f t="shared" ca="1" si="2"/>
        <v>-3.3224804337322819E-2</v>
      </c>
      <c r="Q28" s="2">
        <f t="shared" si="3"/>
        <v>38643.768400000001</v>
      </c>
      <c r="R28">
        <f t="shared" ca="1" si="4"/>
        <v>9.8608287994725221E-6</v>
      </c>
      <c r="W28" t="s">
        <v>53</v>
      </c>
    </row>
    <row r="29" spans="1:23" x14ac:dyDescent="0.2">
      <c r="A29" s="30" t="s">
        <v>43</v>
      </c>
      <c r="B29" s="30"/>
      <c r="C29" s="30">
        <v>53662.517200000002</v>
      </c>
      <c r="D29" s="30">
        <v>2E-3</v>
      </c>
      <c r="E29">
        <f t="shared" si="0"/>
        <v>4619.8637851464973</v>
      </c>
      <c r="F29">
        <f t="shared" si="1"/>
        <v>4620</v>
      </c>
      <c r="G29">
        <f t="shared" si="5"/>
        <v>-3.3499999997729901E-2</v>
      </c>
      <c r="J29">
        <f>+G29</f>
        <v>-3.3499999997729901E-2</v>
      </c>
      <c r="O29">
        <f t="shared" ca="1" si="2"/>
        <v>-3.3225052790407057E-2</v>
      </c>
      <c r="Q29" s="2">
        <f t="shared" si="3"/>
        <v>38644.017200000002</v>
      </c>
      <c r="R29">
        <f t="shared" ca="1" si="4"/>
        <v>7.5595966814630966E-8</v>
      </c>
      <c r="W29" t="s">
        <v>53</v>
      </c>
    </row>
    <row r="30" spans="1:23" x14ac:dyDescent="0.2">
      <c r="A30" s="32" t="s">
        <v>48</v>
      </c>
      <c r="B30" s="31" t="s">
        <v>46</v>
      </c>
      <c r="C30" s="30">
        <v>54749.299149999999</v>
      </c>
      <c r="D30" s="30">
        <v>5.9999999999999995E-4</v>
      </c>
      <c r="E30">
        <f t="shared" si="0"/>
        <v>9038.8442068026143</v>
      </c>
      <c r="F30">
        <f t="shared" si="1"/>
        <v>9039</v>
      </c>
      <c r="G30">
        <f t="shared" si="5"/>
        <v>-3.831499999796506E-2</v>
      </c>
      <c r="K30">
        <f>+G30</f>
        <v>-3.831499999796506E-2</v>
      </c>
      <c r="O30">
        <f t="shared" ca="1" si="2"/>
        <v>-3.4322966969644569E-2</v>
      </c>
      <c r="Q30" s="2">
        <f t="shared" si="3"/>
        <v>39730.799149999999</v>
      </c>
      <c r="R30">
        <f t="shared" ca="1" si="4"/>
        <v>1.5936327699201668E-5</v>
      </c>
    </row>
    <row r="31" spans="1:23" x14ac:dyDescent="0.2">
      <c r="A31" s="30" t="s">
        <v>44</v>
      </c>
      <c r="B31" s="31" t="s">
        <v>45</v>
      </c>
      <c r="C31" s="30">
        <v>54800.704400000002</v>
      </c>
      <c r="D31" s="30">
        <v>6.9999999999999999E-4</v>
      </c>
      <c r="E31">
        <f t="shared" si="0"/>
        <v>9247.8638664687987</v>
      </c>
      <c r="F31">
        <f t="shared" si="1"/>
        <v>9248</v>
      </c>
      <c r="G31">
        <f t="shared" si="5"/>
        <v>-3.3479999998235144E-2</v>
      </c>
      <c r="K31">
        <f>+G31</f>
        <v>-3.3479999998235144E-2</v>
      </c>
      <c r="O31">
        <f t="shared" ca="1" si="2"/>
        <v>-3.4374893664249825E-2</v>
      </c>
      <c r="Q31" s="2">
        <f t="shared" si="3"/>
        <v>39782.204400000002</v>
      </c>
      <c r="R31">
        <f t="shared" ca="1" si="4"/>
        <v>8.0083467347319667E-7</v>
      </c>
      <c r="W31" t="s">
        <v>63</v>
      </c>
    </row>
    <row r="32" spans="1:23" x14ac:dyDescent="0.2">
      <c r="A32" s="32" t="s">
        <v>50</v>
      </c>
      <c r="B32" s="31" t="s">
        <v>46</v>
      </c>
      <c r="C32" s="30">
        <v>55469.901599999997</v>
      </c>
      <c r="D32" s="30">
        <v>6.9999999999999999E-4</v>
      </c>
      <c r="E32">
        <f t="shared" si="0"/>
        <v>11968.896659686499</v>
      </c>
      <c r="F32">
        <f t="shared" si="1"/>
        <v>11969</v>
      </c>
      <c r="G32">
        <f t="shared" si="5"/>
        <v>-2.5415000003704336E-2</v>
      </c>
      <c r="K32">
        <f>+G32</f>
        <v>-2.5415000003704336E-2</v>
      </c>
      <c r="O32">
        <f t="shared" ca="1" si="2"/>
        <v>-3.5050934506455134E-2</v>
      </c>
      <c r="Q32" s="2">
        <f t="shared" si="3"/>
        <v>40451.401599999997</v>
      </c>
      <c r="R32">
        <f t="shared" ca="1" si="4"/>
        <v>9.2851233741303272E-5</v>
      </c>
      <c r="W32" t="s">
        <v>153</v>
      </c>
    </row>
    <row r="33" spans="1:23" x14ac:dyDescent="0.2">
      <c r="A33" s="47" t="s">
        <v>60</v>
      </c>
      <c r="B33" s="47"/>
      <c r="C33" s="48">
        <v>55478.502500000002</v>
      </c>
      <c r="D33" s="48">
        <v>4.1000000000000003E-3</v>
      </c>
      <c r="E33">
        <f t="shared" si="0"/>
        <v>12003.868908451437</v>
      </c>
      <c r="F33">
        <f t="shared" si="1"/>
        <v>12004</v>
      </c>
      <c r="G33">
        <f t="shared" si="5"/>
        <v>-3.223999999318039E-2</v>
      </c>
      <c r="J33">
        <f>+G33</f>
        <v>-3.223999999318039E-2</v>
      </c>
      <c r="O33">
        <f t="shared" ca="1" si="2"/>
        <v>-3.5059630364403384E-2</v>
      </c>
      <c r="Q33" s="2">
        <f t="shared" si="3"/>
        <v>40460.002500000002</v>
      </c>
      <c r="R33">
        <f t="shared" ca="1" si="4"/>
        <v>7.9503154303231153E-6</v>
      </c>
      <c r="W33" t="s">
        <v>53</v>
      </c>
    </row>
    <row r="34" spans="1:23" x14ac:dyDescent="0.2">
      <c r="A34" s="37" t="s">
        <v>54</v>
      </c>
      <c r="B34" s="38" t="s">
        <v>46</v>
      </c>
      <c r="C34" s="37">
        <v>55903.722000000002</v>
      </c>
      <c r="D34" s="37">
        <v>4.0000000000000002E-4</v>
      </c>
      <c r="E34">
        <f t="shared" si="0"/>
        <v>13732.860308618145</v>
      </c>
      <c r="F34">
        <f t="shared" si="1"/>
        <v>13733</v>
      </c>
      <c r="G34">
        <f t="shared" si="5"/>
        <v>-3.4354999996139668E-2</v>
      </c>
      <c r="K34">
        <f>+G34</f>
        <v>-3.4354999996139668E-2</v>
      </c>
      <c r="O34">
        <f t="shared" ca="1" si="2"/>
        <v>-3.5489205747046892E-2</v>
      </c>
      <c r="Q34" s="2">
        <f t="shared" si="3"/>
        <v>40885.222000000002</v>
      </c>
      <c r="R34">
        <f t="shared" ca="1" si="4"/>
        <v>1.286422685391021E-6</v>
      </c>
      <c r="W34" t="s">
        <v>63</v>
      </c>
    </row>
    <row r="35" spans="1:23" x14ac:dyDescent="0.2">
      <c r="A35" s="41" t="s">
        <v>57</v>
      </c>
      <c r="B35" s="42" t="str">
        <f>IF(N35="s","II","I")</f>
        <v>I</v>
      </c>
      <c r="C35" s="43">
        <v>56650.377800000002</v>
      </c>
      <c r="D35" s="44">
        <v>1.2999999999999999E-3</v>
      </c>
      <c r="E35">
        <f t="shared" si="0"/>
        <v>16768.848679529161</v>
      </c>
      <c r="F35">
        <f t="shared" si="1"/>
        <v>16769</v>
      </c>
      <c r="G35">
        <f t="shared" si="5"/>
        <v>-3.7214999996649567E-2</v>
      </c>
      <c r="J35">
        <f>+G35</f>
        <v>-3.7214999996649567E-2</v>
      </c>
      <c r="O35">
        <f t="shared" ca="1" si="2"/>
        <v>-3.6243509310786445E-2</v>
      </c>
      <c r="Q35" s="2">
        <f t="shared" si="3"/>
        <v>41631.877800000002</v>
      </c>
      <c r="R35">
        <f t="shared" ca="1" si="4"/>
        <v>9.4379415271879865E-7</v>
      </c>
      <c r="W35" t="s">
        <v>53</v>
      </c>
    </row>
    <row r="36" spans="1:23" x14ac:dyDescent="0.2">
      <c r="A36" s="39" t="s">
        <v>59</v>
      </c>
      <c r="B36" s="45"/>
      <c r="C36" s="39">
        <v>56917.461900000002</v>
      </c>
      <c r="D36" s="39">
        <v>2.0000000000000001E-4</v>
      </c>
      <c r="E36">
        <f t="shared" si="0"/>
        <v>17854.843352918469</v>
      </c>
      <c r="F36">
        <f t="shared" si="1"/>
        <v>17855</v>
      </c>
      <c r="G36">
        <f t="shared" si="5"/>
        <v>-3.8524999996297993E-2</v>
      </c>
      <c r="J36">
        <f>+G36</f>
        <v>-3.8524999996297993E-2</v>
      </c>
      <c r="O36">
        <f t="shared" ca="1" si="2"/>
        <v>-3.6513329360266404E-2</v>
      </c>
      <c r="Q36" s="2">
        <f t="shared" si="3"/>
        <v>41898.961900000002</v>
      </c>
      <c r="R36">
        <f t="shared" ca="1" si="4"/>
        <v>4.0468187478717361E-6</v>
      </c>
      <c r="W36" t="s">
        <v>53</v>
      </c>
    </row>
    <row r="37" spans="1:23" x14ac:dyDescent="0.2">
      <c r="A37" s="39" t="s">
        <v>59</v>
      </c>
      <c r="B37" s="45"/>
      <c r="C37" s="39">
        <v>56983.372900000002</v>
      </c>
      <c r="D37" s="39">
        <v>2.9999999999999997E-4</v>
      </c>
      <c r="E37">
        <f t="shared" si="0"/>
        <v>18122.845060686785</v>
      </c>
      <c r="F37">
        <f t="shared" si="1"/>
        <v>18123</v>
      </c>
      <c r="G37">
        <f t="shared" si="5"/>
        <v>-3.8104999999632128E-2</v>
      </c>
      <c r="J37">
        <f>+G37</f>
        <v>-3.8104999999632128E-2</v>
      </c>
      <c r="O37">
        <f t="shared" ca="1" si="2"/>
        <v>-3.6579914786841569E-2</v>
      </c>
      <c r="Q37" s="2">
        <f t="shared" si="3"/>
        <v>41964.872900000002</v>
      </c>
      <c r="R37">
        <f t="shared" ca="1" si="4"/>
        <v>2.3258849062724229E-6</v>
      </c>
      <c r="W37" t="s">
        <v>53</v>
      </c>
    </row>
    <row r="38" spans="1:23" x14ac:dyDescent="0.2">
      <c r="A38" s="64" t="s">
        <v>0</v>
      </c>
      <c r="B38" s="65" t="s">
        <v>46</v>
      </c>
      <c r="C38" s="66">
        <v>58018.512799999997</v>
      </c>
      <c r="D38" s="66">
        <v>2.3E-3</v>
      </c>
      <c r="E38">
        <f>+(C38-C$7)/C$8</f>
        <v>22331.84296663752</v>
      </c>
      <c r="F38">
        <f t="shared" si="1"/>
        <v>22332</v>
      </c>
      <c r="G38">
        <f>+C38-(C$7+F38*C$8)</f>
        <v>-3.8619999999355059E-2</v>
      </c>
      <c r="K38">
        <f>+G38</f>
        <v>-3.8619999999355059E-2</v>
      </c>
      <c r="O38">
        <f ca="1">+C$11+C$12*$F38</f>
        <v>-3.762565381838958E-2</v>
      </c>
      <c r="Q38" s="2">
        <f>+C38-15018.5</f>
        <v>43000.012799999997</v>
      </c>
      <c r="R38">
        <f ca="1">(O38-G38)^2</f>
        <v>9.8872432760063276E-7</v>
      </c>
    </row>
    <row r="39" spans="1:23" x14ac:dyDescent="0.2">
      <c r="C39" s="10"/>
      <c r="D39" s="10"/>
    </row>
    <row r="40" spans="1:23" x14ac:dyDescent="0.2">
      <c r="C40" s="10"/>
      <c r="D40" s="10"/>
    </row>
    <row r="41" spans="1:23" x14ac:dyDescent="0.2">
      <c r="C41" s="10"/>
      <c r="D41" s="10"/>
    </row>
    <row r="42" spans="1:23" x14ac:dyDescent="0.2">
      <c r="C42" s="10"/>
      <c r="D42" s="10"/>
    </row>
    <row r="43" spans="1:23" x14ac:dyDescent="0.2">
      <c r="C43" s="10"/>
      <c r="D43" s="10"/>
    </row>
    <row r="44" spans="1:23" x14ac:dyDescent="0.2">
      <c r="C44" s="10"/>
      <c r="D44" s="10"/>
    </row>
    <row r="45" spans="1:23" x14ac:dyDescent="0.2">
      <c r="C45" s="10"/>
      <c r="D45" s="10"/>
    </row>
    <row r="46" spans="1:23" x14ac:dyDescent="0.2">
      <c r="C46" s="10"/>
      <c r="D46" s="10"/>
    </row>
    <row r="47" spans="1:23" x14ac:dyDescent="0.2">
      <c r="C47" s="10"/>
      <c r="D47" s="10"/>
    </row>
    <row r="48" spans="1:23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</sheetData>
  <phoneticPr fontId="7" type="noConversion"/>
  <hyperlinks>
    <hyperlink ref="H64958" r:id="rId1" display="http://vsolj.cetus-net.org/bulletin.html"/>
    <hyperlink ref="H64951" r:id="rId2" display="https://www.aavso.org/ejaavso"/>
    <hyperlink ref="I64958" r:id="rId3" display="http://vsolj.cetus-net.org/bulletin.html"/>
    <hyperlink ref="AQ58608" r:id="rId4" display="http://cdsbib.u-strasbg.fr/cgi-bin/cdsbib?1990RMxAA..21..381G"/>
    <hyperlink ref="H64955" r:id="rId5" display="https://www.aavso.org/ejaavso"/>
    <hyperlink ref="AP5972" r:id="rId6" display="http://cdsbib.u-strasbg.fr/cgi-bin/cdsbib?1990RMxAA..21..381G"/>
    <hyperlink ref="AP5975" r:id="rId7" display="http://cdsbib.u-strasbg.fr/cgi-bin/cdsbib?1990RMxAA..21..381G"/>
    <hyperlink ref="AP5973" r:id="rId8" display="http://cdsbib.u-strasbg.fr/cgi-bin/cdsbib?1990RMxAA..21..381G"/>
    <hyperlink ref="AP5957" r:id="rId9" display="http://cdsbib.u-strasbg.fr/cgi-bin/cdsbib?1990RMxAA..21..381G"/>
    <hyperlink ref="AQ6186" r:id="rId10" display="http://cdsbib.u-strasbg.fr/cgi-bin/cdsbib?1990RMxAA..21..381G"/>
    <hyperlink ref="AQ6190" r:id="rId11" display="http://cdsbib.u-strasbg.fr/cgi-bin/cdsbib?1990RMxAA..21..381G"/>
    <hyperlink ref="AQ695" r:id="rId12" display="http://cdsbib.u-strasbg.fr/cgi-bin/cdsbib?1990RMxAA..21..381G"/>
    <hyperlink ref="I4832" r:id="rId13" display="http://vsolj.cetus-net.org/bulletin.html"/>
    <hyperlink ref="H4832" r:id="rId14" display="http://vsolj.cetus-net.org/bulletin.html"/>
    <hyperlink ref="AQ2258" r:id="rId15" display="http://cdsbib.u-strasbg.fr/cgi-bin/cdsbib?1990RMxAA..21..381G"/>
    <hyperlink ref="AQ2257" r:id="rId16" display="http://cdsbib.u-strasbg.fr/cgi-bin/cdsbib?1990RMxAA..21..381G"/>
    <hyperlink ref="AP2012" r:id="rId17" display="http://cdsbib.u-strasbg.fr/cgi-bin/cdsbib?1990RMxAA..21..381G"/>
    <hyperlink ref="AP2038" r:id="rId18" display="http://cdsbib.u-strasbg.fr/cgi-bin/cdsbib?1990RMxAA..21..381G"/>
    <hyperlink ref="AP2039" r:id="rId19" display="http://cdsbib.u-strasbg.fr/cgi-bin/cdsbib?1990RMxAA..21..381G"/>
    <hyperlink ref="AP203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2"/>
  <sheetViews>
    <sheetView workbookViewId="0">
      <selection activeCell="A25" sqref="A25:R2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25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1</v>
      </c>
      <c r="C4" s="8" t="s">
        <v>40</v>
      </c>
      <c r="D4" s="9" t="s">
        <v>40</v>
      </c>
    </row>
    <row r="6" spans="1:7" x14ac:dyDescent="0.2">
      <c r="A6" s="5" t="s">
        <v>2</v>
      </c>
    </row>
    <row r="7" spans="1:7" x14ac:dyDescent="0.2">
      <c r="A7" t="s">
        <v>3</v>
      </c>
      <c r="C7">
        <v>52526.330999999998</v>
      </c>
    </row>
    <row r="8" spans="1:7" x14ac:dyDescent="0.2">
      <c r="A8" t="s">
        <v>4</v>
      </c>
      <c r="C8">
        <v>0.24063999999999999</v>
      </c>
      <c r="D8" s="29"/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INTERCEPT(INDIRECT($G$11):G974,INDIRECT($F$11):F974)</f>
        <v>3.5422203608995048E-2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SLOPE(INDIRECT($G$11):G974,INDIRECT($F$11):F974)</f>
        <v>-5.3018449349898812E-6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(C7+C11)+(C8+C12)*INT(MAX(F21:F3515))</f>
        <v>55469.810050036365</v>
      </c>
      <c r="D15" s="16" t="s">
        <v>34</v>
      </c>
      <c r="E15" s="17">
        <f ca="1">TODAY()+15018.5-B9/24</f>
        <v>60093.5</v>
      </c>
    </row>
    <row r="16" spans="1:7" x14ac:dyDescent="0.2">
      <c r="A16" s="18" t="s">
        <v>5</v>
      </c>
      <c r="B16" s="12"/>
      <c r="C16" s="19">
        <f ca="1">+C8+C12</f>
        <v>0.240634698155065</v>
      </c>
      <c r="D16" s="16" t="s">
        <v>35</v>
      </c>
      <c r="E16" s="17">
        <f ca="1">ROUND(2*(E15-C15)/C16,0)/2+1</f>
        <v>19215.5</v>
      </c>
    </row>
    <row r="17" spans="1:18" ht="13.5" thickBot="1" x14ac:dyDescent="0.25">
      <c r="A17" s="16" t="s">
        <v>31</v>
      </c>
      <c r="B17" s="12"/>
      <c r="C17" s="12">
        <f>COUNT(C21:C2173)</f>
        <v>5</v>
      </c>
      <c r="D17" s="16" t="s">
        <v>36</v>
      </c>
      <c r="E17" s="20">
        <f ca="1">+C15+C16*E16-15018.5-C9/24</f>
        <v>45074.892759101684</v>
      </c>
    </row>
    <row r="18" spans="1:18" ht="14.25" thickTop="1" thickBot="1" x14ac:dyDescent="0.25">
      <c r="A18" s="18" t="s">
        <v>6</v>
      </c>
      <c r="B18" s="12"/>
      <c r="C18" s="21">
        <f ca="1">+C15</f>
        <v>55469.810050036365</v>
      </c>
      <c r="D18" s="22">
        <f ca="1">+C16</f>
        <v>0.240634698155065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  <c r="R19">
        <f ca="1">SQRT(SUM(R21:R24)/(COUNT(R21:R24)-1))</f>
        <v>4.2929589350222314E-2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43</v>
      </c>
      <c r="B21" s="30"/>
      <c r="C21" s="30">
        <v>53662.268400000001</v>
      </c>
      <c r="D21" s="30">
        <v>1E-4</v>
      </c>
      <c r="E21">
        <f>+(C21-C$7)/C$8</f>
        <v>4720.4845412234145</v>
      </c>
      <c r="F21">
        <f>ROUND(2*E21,0)/2</f>
        <v>4720.5</v>
      </c>
      <c r="G21">
        <f>+C21-(C$7+F21*C$8)</f>
        <v>-3.7200000006123446E-3</v>
      </c>
      <c r="H21">
        <f>+G21</f>
        <v>-3.7200000006123446E-3</v>
      </c>
      <c r="O21">
        <f ca="1">+C$11+C$12*$F21</f>
        <v>1.0394844593375314E-2</v>
      </c>
      <c r="Q21" s="2">
        <f>+C21-15018.5</f>
        <v>38643.768400000001</v>
      </c>
      <c r="R21">
        <f ca="1">(O21-G21)^2</f>
        <v>1.9922883791242263E-4</v>
      </c>
    </row>
    <row r="22" spans="1:18" x14ac:dyDescent="0.2">
      <c r="A22" s="30" t="s">
        <v>43</v>
      </c>
      <c r="B22" s="30"/>
      <c r="C22" s="30">
        <v>53662.517200000002</v>
      </c>
      <c r="D22" s="30">
        <v>2E-3</v>
      </c>
      <c r="E22">
        <f>+(C22-C$7)/C$8</f>
        <v>4721.5184507978884</v>
      </c>
      <c r="F22">
        <f>ROUND(2*E22,0)/2</f>
        <v>4721.5</v>
      </c>
      <c r="G22">
        <f>+C22-(C$7+F22*C$8)</f>
        <v>4.4400000042514876E-3</v>
      </c>
      <c r="H22">
        <f>+G22</f>
        <v>4.4400000042514876E-3</v>
      </c>
      <c r="O22">
        <f ca="1">+C$11+C$12*$F22</f>
        <v>1.0389542748440325E-2</v>
      </c>
      <c r="Q22" s="2">
        <f>+C22-15018.5</f>
        <v>38644.017200000002</v>
      </c>
      <c r="R22">
        <f ca="1">(O22-G22)^2</f>
        <v>3.5397058864930047E-5</v>
      </c>
    </row>
    <row r="23" spans="1:18" x14ac:dyDescent="0.2">
      <c r="A23" s="30" t="s">
        <v>44</v>
      </c>
      <c r="B23" s="31" t="s">
        <v>45</v>
      </c>
      <c r="C23" s="30">
        <v>54800.704400000002</v>
      </c>
      <c r="D23" s="30">
        <v>6.9999999999999999E-4</v>
      </c>
      <c r="E23">
        <f>+(C23-C$7)/C$8</f>
        <v>9451.3522273936342</v>
      </c>
      <c r="F23">
        <f>ROUND(2*E23,0)/2</f>
        <v>9451.5</v>
      </c>
      <c r="G23">
        <f>+C23-(C$7+F23*C$8)</f>
        <v>-3.5559999996621627E-2</v>
      </c>
      <c r="H23">
        <f>+G23</f>
        <v>-3.5559999996621627E-2</v>
      </c>
      <c r="O23">
        <f ca="1">+C$11+C$12*$F23</f>
        <v>-1.4688183794061817E-2</v>
      </c>
      <c r="Q23" s="2">
        <f>+C23-15018.5</f>
        <v>39782.204400000002</v>
      </c>
      <c r="R23">
        <f ca="1">(O23-G23)^2</f>
        <v>4.3563271159343823E-4</v>
      </c>
    </row>
    <row r="24" spans="1:18" x14ac:dyDescent="0.2">
      <c r="A24" s="32" t="s">
        <v>48</v>
      </c>
      <c r="B24" s="31" t="s">
        <v>46</v>
      </c>
      <c r="C24" s="30">
        <v>54749.299149999999</v>
      </c>
      <c r="D24" s="30">
        <v>5.9999999999999995E-4</v>
      </c>
      <c r="E24">
        <f>+(C24-C$7)/C$8</f>
        <v>9237.7333361037254</v>
      </c>
      <c r="F24">
        <f>ROUND(2*E24,0)/2</f>
        <v>9237.5</v>
      </c>
      <c r="G24">
        <f>+C24-(C$7+F24*C$8)</f>
        <v>5.6150000003981404E-2</v>
      </c>
      <c r="I24">
        <f>+G24</f>
        <v>5.6150000003981404E-2</v>
      </c>
      <c r="O24">
        <f ca="1">+C$11+C$12*$F24</f>
        <v>-1.3553588977973978E-2</v>
      </c>
      <c r="Q24" s="2">
        <f>+C24-15018.5</f>
        <v>39730.799149999999</v>
      </c>
      <c r="R24">
        <f ca="1">(O24-G24)^2</f>
        <v>4.8585903169653727E-3</v>
      </c>
    </row>
    <row r="25" spans="1:18" x14ac:dyDescent="0.2">
      <c r="A25" s="34" t="s">
        <v>50</v>
      </c>
      <c r="B25" s="35" t="s">
        <v>46</v>
      </c>
      <c r="C25" s="36">
        <v>55469.901599999997</v>
      </c>
      <c r="D25" s="36">
        <v>6.9999999999999999E-4</v>
      </c>
      <c r="E25">
        <f>+(C25-C$7)/C$8</f>
        <v>12232.258144946805</v>
      </c>
      <c r="F25">
        <f>ROUND(2*E25,0)/2</f>
        <v>12232.5</v>
      </c>
      <c r="G25">
        <f>+C25-(C$7+F25*C$8)</f>
        <v>-5.8199999999487773E-2</v>
      </c>
      <c r="H25">
        <f>+G25</f>
        <v>-5.8199999999487773E-2</v>
      </c>
      <c r="O25">
        <f ca="1">+C$11+C$12*$F25</f>
        <v>-2.9432614558268677E-2</v>
      </c>
      <c r="Q25" s="2">
        <f>+C25-15018.5</f>
        <v>40451.401599999997</v>
      </c>
      <c r="R25">
        <f ca="1">(O25-G25)^2</f>
        <v>8.2756246512366441E-4</v>
      </c>
    </row>
    <row r="26" spans="1:18" x14ac:dyDescent="0.2">
      <c r="C26" s="10"/>
      <c r="D26" s="10"/>
    </row>
    <row r="27" spans="1:18" x14ac:dyDescent="0.2">
      <c r="C27" s="10"/>
      <c r="D27" s="10"/>
    </row>
    <row r="28" spans="1:18" x14ac:dyDescent="0.2">
      <c r="C28" s="10"/>
      <c r="D28" s="10"/>
    </row>
    <row r="29" spans="1:18" x14ac:dyDescent="0.2">
      <c r="C29" s="10"/>
      <c r="D29" s="10"/>
    </row>
    <row r="30" spans="1:18" x14ac:dyDescent="0.2">
      <c r="C30" s="10"/>
      <c r="D30" s="10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2"/>
  <sheetViews>
    <sheetView workbookViewId="0">
      <selection activeCell="E52" sqref="E5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25</v>
      </c>
      <c r="B2" t="s">
        <v>41</v>
      </c>
      <c r="C2" s="33"/>
      <c r="D2" s="3"/>
    </row>
    <row r="3" spans="1:7" ht="13.5" thickBot="1" x14ac:dyDescent="0.25">
      <c r="C3" s="29"/>
    </row>
    <row r="4" spans="1:7" ht="14.25" thickTop="1" thickBot="1" x14ac:dyDescent="0.25">
      <c r="A4" s="5" t="s">
        <v>1</v>
      </c>
      <c r="C4" s="8" t="s">
        <v>40</v>
      </c>
      <c r="D4" s="9" t="s">
        <v>40</v>
      </c>
    </row>
    <row r="6" spans="1:7" x14ac:dyDescent="0.2">
      <c r="A6" s="5" t="s">
        <v>2</v>
      </c>
    </row>
    <row r="7" spans="1:7" x14ac:dyDescent="0.2">
      <c r="A7" t="s">
        <v>3</v>
      </c>
      <c r="C7">
        <v>52526.330999999998</v>
      </c>
    </row>
    <row r="8" spans="1:7" x14ac:dyDescent="0.2">
      <c r="A8" t="s">
        <v>4</v>
      </c>
      <c r="C8">
        <v>0.24892</v>
      </c>
      <c r="D8" s="29" t="s">
        <v>39</v>
      </c>
    </row>
    <row r="9" spans="1:7" x14ac:dyDescent="0.2">
      <c r="A9" s="11" t="s">
        <v>32</v>
      </c>
      <c r="B9" s="12"/>
      <c r="C9" s="13">
        <v>8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INTERCEPT(INDIRECT($G$11):G974,INDIRECT($F$11):F974)</f>
        <v>4.7489162902184592E-3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SLOPE(INDIRECT($G$11):G974,INDIRECT($F$11):F974)</f>
        <v>-2.4426483543888055E-6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(C7+C11)+(C8+C12)*INT(MAX(F21:F3515))</f>
        <v>55469.7858645995</v>
      </c>
      <c r="D15" s="16" t="s">
        <v>34</v>
      </c>
      <c r="E15" s="17">
        <f ca="1">TODAY()+15018.5-B9/24</f>
        <v>60093.5</v>
      </c>
    </row>
    <row r="16" spans="1:7" x14ac:dyDescent="0.2">
      <c r="A16" s="18" t="s">
        <v>5</v>
      </c>
      <c r="B16" s="12"/>
      <c r="C16" s="19">
        <f ca="1">+C8+C12</f>
        <v>0.24891755735164561</v>
      </c>
      <c r="D16" s="16" t="s">
        <v>35</v>
      </c>
      <c r="E16" s="17">
        <f ca="1">ROUND(2*(E15-C15)/C16,0)/2+1</f>
        <v>18576.5</v>
      </c>
    </row>
    <row r="17" spans="1:18" ht="13.5" thickBot="1" x14ac:dyDescent="0.25">
      <c r="A17" s="16" t="s">
        <v>31</v>
      </c>
      <c r="B17" s="12"/>
      <c r="C17" s="12">
        <f>COUNT(C21:C2173)</f>
        <v>5</v>
      </c>
      <c r="D17" s="16" t="s">
        <v>36</v>
      </c>
      <c r="E17" s="20">
        <f ca="1">+C15+C16*E16-15018.5-C9/24</f>
        <v>45074.969535409007</v>
      </c>
    </row>
    <row r="18" spans="1:18" ht="14.25" thickTop="1" thickBot="1" x14ac:dyDescent="0.25">
      <c r="A18" s="18" t="s">
        <v>6</v>
      </c>
      <c r="B18" s="12"/>
      <c r="C18" s="21">
        <f ca="1">+C15</f>
        <v>55469.7858645995</v>
      </c>
      <c r="D18" s="22">
        <f ca="1">+C16</f>
        <v>0.24891755735164561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  <c r="R19">
        <f ca="1">SQRT(SUM(R21:R24)/(COUNT(R21:R24)-1))</f>
        <v>6.3427538357020532E-3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30</v>
      </c>
      <c r="I20" s="7" t="s">
        <v>47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s="30" t="s">
        <v>43</v>
      </c>
      <c r="B21" s="30"/>
      <c r="C21" s="30">
        <v>53662.268400000001</v>
      </c>
      <c r="D21" s="30">
        <v>1E-4</v>
      </c>
      <c r="E21">
        <f>+(C21-C$7)/C$8</f>
        <v>4563.4637634581495</v>
      </c>
      <c r="F21">
        <f>ROUND(2*E21,0)/2</f>
        <v>4563.5</v>
      </c>
      <c r="G21">
        <f>+C21-(C$7+F21*C$8)</f>
        <v>-9.01999999769032E-3</v>
      </c>
      <c r="H21">
        <f>+G21</f>
        <v>-9.01999999769032E-3</v>
      </c>
      <c r="O21">
        <f ca="1">+C$11+C$12*$F21</f>
        <v>-6.3981094750348542E-3</v>
      </c>
      <c r="Q21" s="2">
        <f>+C21-15018.5</f>
        <v>38643.768400000001</v>
      </c>
      <c r="R21">
        <f ca="1">(O21-G21)^2</f>
        <v>6.874309912790551E-6</v>
      </c>
    </row>
    <row r="22" spans="1:18" x14ac:dyDescent="0.2">
      <c r="A22" s="30" t="s">
        <v>43</v>
      </c>
      <c r="B22" s="30"/>
      <c r="C22" s="30">
        <v>53662.517200000002</v>
      </c>
      <c r="D22" s="30">
        <v>2E-3</v>
      </c>
      <c r="E22">
        <f>+(C22-C$7)/C$8</f>
        <v>4564.463281375557</v>
      </c>
      <c r="F22">
        <f>ROUND(2*E22,0)/2</f>
        <v>4564.5</v>
      </c>
      <c r="G22">
        <f>+C22-(C$7+F22*C$8)</f>
        <v>-9.139999994658865E-3</v>
      </c>
      <c r="H22">
        <f>+G22</f>
        <v>-9.139999994658865E-3</v>
      </c>
      <c r="O22">
        <f ca="1">+C$11+C$12*$F22</f>
        <v>-6.4005521233892436E-3</v>
      </c>
      <c r="Q22" s="2">
        <f>+C22-15018.5</f>
        <v>38644.017200000002</v>
      </c>
      <c r="R22">
        <f ca="1">(O22-G22)^2</f>
        <v>7.5045746394036605E-6</v>
      </c>
    </row>
    <row r="23" spans="1:18" x14ac:dyDescent="0.2">
      <c r="A23" s="30" t="s">
        <v>44</v>
      </c>
      <c r="B23" s="31" t="s">
        <v>45</v>
      </c>
      <c r="C23" s="30">
        <v>54800.704400000002</v>
      </c>
      <c r="D23" s="30">
        <v>6.9999999999999999E-4</v>
      </c>
      <c r="E23">
        <f>+(C23-C$7)/C$8</f>
        <v>9136.9652900530455</v>
      </c>
      <c r="F23">
        <f>ROUND(2*E23,0)/2</f>
        <v>9137</v>
      </c>
      <c r="G23">
        <f>+C23-(C$7+F23*C$8)</f>
        <v>-8.6399999927380122E-3</v>
      </c>
      <c r="H23">
        <f>+G23</f>
        <v>-8.6399999927380122E-3</v>
      </c>
      <c r="O23">
        <f ca="1">+C$11+C$12*$F23</f>
        <v>-1.7569561723832058E-2</v>
      </c>
      <c r="Q23" s="2">
        <f>+C23-15018.5</f>
        <v>39782.204400000002</v>
      </c>
      <c r="R23">
        <f ca="1">(O23-G23)^2</f>
        <v>7.9737072709419281E-5</v>
      </c>
    </row>
    <row r="24" spans="1:18" x14ac:dyDescent="0.2">
      <c r="A24" s="32" t="s">
        <v>48</v>
      </c>
      <c r="B24" s="31" t="s">
        <v>46</v>
      </c>
      <c r="C24" s="30">
        <v>54749.299149999999</v>
      </c>
      <c r="D24" s="30">
        <v>5.9999999999999995E-4</v>
      </c>
      <c r="E24">
        <f>+(C24-C$7)/C$8</f>
        <v>8930.4521533022689</v>
      </c>
      <c r="F24">
        <f>ROUND(2*E24,0)/2</f>
        <v>8930.5</v>
      </c>
      <c r="G24">
        <f>+C24-(C$7+F24*C$8)</f>
        <v>-1.1910000001080334E-2</v>
      </c>
      <c r="I24">
        <f>+G24</f>
        <v>-1.1910000001080334E-2</v>
      </c>
      <c r="O24">
        <f ca="1">+C$11+C$12*$F24</f>
        <v>-1.7065154838650769E-2</v>
      </c>
      <c r="Q24" s="2">
        <f>+C24-15018.5</f>
        <v>39730.799149999999</v>
      </c>
      <c r="R24">
        <f ca="1">(O24-G24)^2</f>
        <v>2.6575621399325861E-5</v>
      </c>
    </row>
    <row r="25" spans="1:18" x14ac:dyDescent="0.2">
      <c r="A25" s="34" t="s">
        <v>50</v>
      </c>
      <c r="B25" s="35" t="s">
        <v>46</v>
      </c>
      <c r="C25" s="36">
        <v>55469.901599999997</v>
      </c>
      <c r="D25" s="36">
        <v>6.9999999999999999E-4</v>
      </c>
      <c r="E25">
        <f>+(C25-C$7)/C$8</f>
        <v>11825.367989715567</v>
      </c>
      <c r="F25">
        <f>ROUND(2*E25,0)/2</f>
        <v>11825.5</v>
      </c>
      <c r="G25">
        <f>+C25-(C$7+F25*C$8)</f>
        <v>-3.2859999999345746E-2</v>
      </c>
      <c r="H25">
        <f>+G25</f>
        <v>-3.2859999999345746E-2</v>
      </c>
      <c r="O25">
        <f ca="1">+C$11+C$12*$F25</f>
        <v>-2.4136621824606359E-2</v>
      </c>
      <c r="Q25" s="2">
        <f>+C25-15018.5</f>
        <v>40451.401599999997</v>
      </c>
      <c r="R25">
        <f ca="1">(O25-G25)^2</f>
        <v>7.6097326779519473E-5</v>
      </c>
    </row>
    <row r="26" spans="1:18" x14ac:dyDescent="0.2">
      <c r="C26" s="10"/>
      <c r="D26" s="10"/>
    </row>
    <row r="27" spans="1:18" x14ac:dyDescent="0.2">
      <c r="C27" s="10"/>
      <c r="D27" s="10"/>
    </row>
    <row r="28" spans="1:18" x14ac:dyDescent="0.2">
      <c r="C28" s="10"/>
      <c r="D28" s="10"/>
    </row>
    <row r="29" spans="1:18" x14ac:dyDescent="0.2">
      <c r="C29" s="10"/>
      <c r="D29" s="10"/>
    </row>
    <row r="30" spans="1:18" x14ac:dyDescent="0.2">
      <c r="C30" s="10"/>
      <c r="D30" s="10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0"/>
  <sheetViews>
    <sheetView topLeftCell="A3" workbookViewId="0">
      <selection activeCell="A26" sqref="A26:D27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9" t="s">
        <v>61</v>
      </c>
      <c r="I1" s="50" t="s">
        <v>62</v>
      </c>
      <c r="J1" s="51" t="s">
        <v>63</v>
      </c>
    </row>
    <row r="2" spans="1:16" x14ac:dyDescent="0.2">
      <c r="I2" s="52" t="s">
        <v>64</v>
      </c>
      <c r="J2" s="53" t="s">
        <v>53</v>
      </c>
    </row>
    <row r="3" spans="1:16" x14ac:dyDescent="0.2">
      <c r="A3" s="54" t="s">
        <v>65</v>
      </c>
      <c r="I3" s="52" t="s">
        <v>66</v>
      </c>
      <c r="J3" s="53" t="s">
        <v>67</v>
      </c>
    </row>
    <row r="4" spans="1:16" x14ac:dyDescent="0.2">
      <c r="I4" s="52" t="s">
        <v>68</v>
      </c>
      <c r="J4" s="53" t="s">
        <v>67</v>
      </c>
    </row>
    <row r="5" spans="1:16" ht="13.5" thickBot="1" x14ac:dyDescent="0.25">
      <c r="I5" s="55" t="s">
        <v>69</v>
      </c>
      <c r="J5" s="56" t="s">
        <v>70</v>
      </c>
    </row>
    <row r="10" spans="1:16" ht="13.5" thickBot="1" x14ac:dyDescent="0.25"/>
    <row r="11" spans="1:16" ht="12.75" customHeight="1" thickBot="1" x14ac:dyDescent="0.25">
      <c r="A11" s="10" t="str">
        <f t="shared" ref="A11:A27" si="0">P11</f>
        <v>IBVS 4324 </v>
      </c>
      <c r="B11" s="3" t="str">
        <f t="shared" ref="B11:B27" si="1">IF(H11=INT(H11),"I","II")</f>
        <v>I</v>
      </c>
      <c r="C11" s="10">
        <f t="shared" ref="C11:C27" si="2">1*G11</f>
        <v>50053.4277</v>
      </c>
      <c r="D11" s="12" t="str">
        <f t="shared" ref="D11:D27" si="3">VLOOKUP(F11,I$1:J$5,2,FALSE)</f>
        <v>vis</v>
      </c>
      <c r="E11" s="57">
        <f>VLOOKUP(C11,Active!C$21:E$972,3,FALSE)</f>
        <v>-10055.109276841435</v>
      </c>
      <c r="F11" s="3" t="s">
        <v>69</v>
      </c>
      <c r="G11" s="12" t="str">
        <f t="shared" ref="G11:G27" si="4">MID(I11,3,LEN(I11)-3)</f>
        <v>50053.4277</v>
      </c>
      <c r="H11" s="10">
        <f t="shared" ref="H11:H27" si="5">1*K11</f>
        <v>-4975</v>
      </c>
      <c r="I11" s="58" t="s">
        <v>72</v>
      </c>
      <c r="J11" s="59" t="s">
        <v>73</v>
      </c>
      <c r="K11" s="58">
        <v>-4975</v>
      </c>
      <c r="L11" s="58" t="s">
        <v>74</v>
      </c>
      <c r="M11" s="59" t="s">
        <v>75</v>
      </c>
      <c r="N11" s="59" t="s">
        <v>76</v>
      </c>
      <c r="O11" s="60" t="s">
        <v>77</v>
      </c>
      <c r="P11" s="61" t="s">
        <v>78</v>
      </c>
    </row>
    <row r="12" spans="1:16" ht="12.75" customHeight="1" thickBot="1" x14ac:dyDescent="0.25">
      <c r="A12" s="10" t="str">
        <f t="shared" si="0"/>
        <v>IBVS 4324 </v>
      </c>
      <c r="B12" s="3" t="str">
        <f t="shared" si="1"/>
        <v>I</v>
      </c>
      <c r="C12" s="10">
        <f t="shared" si="2"/>
        <v>50057.3603</v>
      </c>
      <c r="D12" s="12" t="str">
        <f t="shared" si="3"/>
        <v>vis</v>
      </c>
      <c r="E12" s="57">
        <f>VLOOKUP(C12,Active!C$21:E$972,3,FALSE)</f>
        <v>-10039.118872872907</v>
      </c>
      <c r="F12" s="3" t="s">
        <v>69</v>
      </c>
      <c r="G12" s="12" t="str">
        <f t="shared" si="4"/>
        <v>50057.3603</v>
      </c>
      <c r="H12" s="10">
        <f t="shared" si="5"/>
        <v>-4967</v>
      </c>
      <c r="I12" s="58" t="s">
        <v>79</v>
      </c>
      <c r="J12" s="59" t="s">
        <v>80</v>
      </c>
      <c r="K12" s="58">
        <v>-4967</v>
      </c>
      <c r="L12" s="58" t="s">
        <v>81</v>
      </c>
      <c r="M12" s="59" t="s">
        <v>75</v>
      </c>
      <c r="N12" s="59" t="s">
        <v>76</v>
      </c>
      <c r="O12" s="60" t="s">
        <v>77</v>
      </c>
      <c r="P12" s="61" t="s">
        <v>78</v>
      </c>
    </row>
    <row r="13" spans="1:16" ht="12.75" customHeight="1" thickBot="1" x14ac:dyDescent="0.25">
      <c r="A13" s="10" t="str">
        <f t="shared" si="0"/>
        <v>IBVS 4324 </v>
      </c>
      <c r="B13" s="3" t="str">
        <f t="shared" si="1"/>
        <v>II</v>
      </c>
      <c r="C13" s="10">
        <f t="shared" si="2"/>
        <v>50069.409599999999</v>
      </c>
      <c r="D13" s="12" t="str">
        <f t="shared" si="3"/>
        <v>vis</v>
      </c>
      <c r="E13" s="57">
        <f>VLOOKUP(C13,Active!C$21:E$972,3,FALSE)</f>
        <v>-9990.1250330371822</v>
      </c>
      <c r="F13" s="3" t="s">
        <v>69</v>
      </c>
      <c r="G13" s="12" t="str">
        <f t="shared" si="4"/>
        <v>50069.4096</v>
      </c>
      <c r="H13" s="10">
        <f t="shared" si="5"/>
        <v>-4942.5</v>
      </c>
      <c r="I13" s="58" t="s">
        <v>82</v>
      </c>
      <c r="J13" s="59" t="s">
        <v>83</v>
      </c>
      <c r="K13" s="58">
        <v>-4942.5</v>
      </c>
      <c r="L13" s="58" t="s">
        <v>84</v>
      </c>
      <c r="M13" s="59" t="s">
        <v>75</v>
      </c>
      <c r="N13" s="59" t="s">
        <v>76</v>
      </c>
      <c r="O13" s="60" t="s">
        <v>77</v>
      </c>
      <c r="P13" s="61" t="s">
        <v>78</v>
      </c>
    </row>
    <row r="14" spans="1:16" ht="12.75" customHeight="1" thickBot="1" x14ac:dyDescent="0.25">
      <c r="A14" s="10" t="str">
        <f t="shared" si="0"/>
        <v>IBVS 4324 </v>
      </c>
      <c r="B14" s="3" t="str">
        <f t="shared" si="1"/>
        <v>I</v>
      </c>
      <c r="C14" s="10">
        <f t="shared" si="2"/>
        <v>50080.477200000001</v>
      </c>
      <c r="D14" s="12" t="str">
        <f t="shared" si="3"/>
        <v>vis</v>
      </c>
      <c r="E14" s="57">
        <f>VLOOKUP(C14,Active!C$21:E$972,3,FALSE)</f>
        <v>-9945.1228983267829</v>
      </c>
      <c r="F14" s="3" t="s">
        <v>69</v>
      </c>
      <c r="G14" s="12" t="str">
        <f t="shared" si="4"/>
        <v>50080.4772</v>
      </c>
      <c r="H14" s="10">
        <f t="shared" si="5"/>
        <v>-4920</v>
      </c>
      <c r="I14" s="58" t="s">
        <v>85</v>
      </c>
      <c r="J14" s="59" t="s">
        <v>86</v>
      </c>
      <c r="K14" s="58">
        <v>-4920</v>
      </c>
      <c r="L14" s="58" t="s">
        <v>87</v>
      </c>
      <c r="M14" s="59" t="s">
        <v>75</v>
      </c>
      <c r="N14" s="59" t="s">
        <v>76</v>
      </c>
      <c r="O14" s="60" t="s">
        <v>77</v>
      </c>
      <c r="P14" s="61" t="s">
        <v>78</v>
      </c>
    </row>
    <row r="15" spans="1:16" ht="12.75" customHeight="1" thickBot="1" x14ac:dyDescent="0.25">
      <c r="A15" s="10" t="str">
        <f t="shared" si="0"/>
        <v>IBVS 4324 </v>
      </c>
      <c r="B15" s="3" t="str">
        <f t="shared" si="1"/>
        <v>I</v>
      </c>
      <c r="C15" s="10">
        <f t="shared" si="2"/>
        <v>50116.385799999996</v>
      </c>
      <c r="D15" s="12" t="str">
        <f t="shared" si="3"/>
        <v>vis</v>
      </c>
      <c r="E15" s="57">
        <f>VLOOKUP(C15,Active!C$21:E$972,3,FALSE)</f>
        <v>-9799.114400146389</v>
      </c>
      <c r="F15" s="3" t="s">
        <v>69</v>
      </c>
      <c r="G15" s="12" t="str">
        <f t="shared" si="4"/>
        <v>50116.3858</v>
      </c>
      <c r="H15" s="10">
        <f t="shared" si="5"/>
        <v>-4847</v>
      </c>
      <c r="I15" s="58" t="s">
        <v>88</v>
      </c>
      <c r="J15" s="59" t="s">
        <v>89</v>
      </c>
      <c r="K15" s="58">
        <v>-4847</v>
      </c>
      <c r="L15" s="58" t="s">
        <v>90</v>
      </c>
      <c r="M15" s="59" t="s">
        <v>75</v>
      </c>
      <c r="N15" s="59" t="s">
        <v>91</v>
      </c>
      <c r="O15" s="60" t="s">
        <v>77</v>
      </c>
      <c r="P15" s="61" t="s">
        <v>78</v>
      </c>
    </row>
    <row r="16" spans="1:16" ht="12.75" customHeight="1" thickBot="1" x14ac:dyDescent="0.25">
      <c r="A16" s="10" t="str">
        <f t="shared" si="0"/>
        <v>IBVS 4324 </v>
      </c>
      <c r="B16" s="3" t="str">
        <f t="shared" si="1"/>
        <v>II</v>
      </c>
      <c r="C16" s="10">
        <f t="shared" si="2"/>
        <v>50130.406499999997</v>
      </c>
      <c r="D16" s="12" t="str">
        <f t="shared" si="3"/>
        <v>vis</v>
      </c>
      <c r="E16" s="57">
        <f>VLOOKUP(C16,Active!C$21:E$972,3,FALSE)</f>
        <v>-9742.104621139737</v>
      </c>
      <c r="F16" s="3" t="s">
        <v>69</v>
      </c>
      <c r="G16" s="12" t="str">
        <f t="shared" si="4"/>
        <v>50130.4065</v>
      </c>
      <c r="H16" s="10">
        <f t="shared" si="5"/>
        <v>-4818.5</v>
      </c>
      <c r="I16" s="58" t="s">
        <v>92</v>
      </c>
      <c r="J16" s="59" t="s">
        <v>93</v>
      </c>
      <c r="K16" s="58">
        <v>-4818.5</v>
      </c>
      <c r="L16" s="58" t="s">
        <v>94</v>
      </c>
      <c r="M16" s="59" t="s">
        <v>75</v>
      </c>
      <c r="N16" s="59" t="s">
        <v>91</v>
      </c>
      <c r="O16" s="60" t="s">
        <v>77</v>
      </c>
      <c r="P16" s="61" t="s">
        <v>78</v>
      </c>
    </row>
    <row r="17" spans="1:16" ht="12.75" customHeight="1" thickBot="1" x14ac:dyDescent="0.25">
      <c r="A17" s="10" t="str">
        <f t="shared" si="0"/>
        <v>BAVM 178 </v>
      </c>
      <c r="B17" s="3" t="str">
        <f t="shared" si="1"/>
        <v>I</v>
      </c>
      <c r="C17" s="10">
        <f t="shared" si="2"/>
        <v>53662.268400000001</v>
      </c>
      <c r="D17" s="12" t="str">
        <f t="shared" si="3"/>
        <v>vis</v>
      </c>
      <c r="E17" s="57">
        <f>VLOOKUP(C17,Active!C$21:E$972,3,FALSE)</f>
        <v>4618.8521357269301</v>
      </c>
      <c r="F17" s="3" t="s">
        <v>69</v>
      </c>
      <c r="G17" s="12" t="str">
        <f t="shared" si="4"/>
        <v>53662.2684</v>
      </c>
      <c r="H17" s="10">
        <f t="shared" si="5"/>
        <v>2362</v>
      </c>
      <c r="I17" s="58" t="s">
        <v>100</v>
      </c>
      <c r="J17" s="59" t="s">
        <v>101</v>
      </c>
      <c r="K17" s="58">
        <v>2362</v>
      </c>
      <c r="L17" s="58" t="s">
        <v>102</v>
      </c>
      <c r="M17" s="59" t="s">
        <v>103</v>
      </c>
      <c r="N17" s="59" t="s">
        <v>104</v>
      </c>
      <c r="O17" s="60" t="s">
        <v>105</v>
      </c>
      <c r="P17" s="61" t="s">
        <v>106</v>
      </c>
    </row>
    <row r="18" spans="1:16" ht="12.75" customHeight="1" thickBot="1" x14ac:dyDescent="0.25">
      <c r="A18" s="10" t="str">
        <f t="shared" si="0"/>
        <v>BAVM 178 </v>
      </c>
      <c r="B18" s="3" t="str">
        <f t="shared" si="1"/>
        <v>II</v>
      </c>
      <c r="C18" s="10">
        <f t="shared" si="2"/>
        <v>53662.517200000002</v>
      </c>
      <c r="D18" s="12" t="str">
        <f t="shared" si="3"/>
        <v>vis</v>
      </c>
      <c r="E18" s="57">
        <f>VLOOKUP(C18,Active!C$21:E$972,3,FALSE)</f>
        <v>4619.8637851464973</v>
      </c>
      <c r="F18" s="3" t="s">
        <v>69</v>
      </c>
      <c r="G18" s="12" t="str">
        <f t="shared" si="4"/>
        <v>53662.5172</v>
      </c>
      <c r="H18" s="10">
        <f t="shared" si="5"/>
        <v>2362.5</v>
      </c>
      <c r="I18" s="58" t="s">
        <v>107</v>
      </c>
      <c r="J18" s="59" t="s">
        <v>108</v>
      </c>
      <c r="K18" s="58" t="s">
        <v>109</v>
      </c>
      <c r="L18" s="58" t="s">
        <v>110</v>
      </c>
      <c r="M18" s="59" t="s">
        <v>103</v>
      </c>
      <c r="N18" s="59" t="s">
        <v>104</v>
      </c>
      <c r="O18" s="60" t="s">
        <v>105</v>
      </c>
      <c r="P18" s="61" t="s">
        <v>106</v>
      </c>
    </row>
    <row r="19" spans="1:16" ht="12.75" customHeight="1" thickBot="1" x14ac:dyDescent="0.25">
      <c r="A19" s="10" t="str">
        <f t="shared" si="0"/>
        <v>IBVS 5871 </v>
      </c>
      <c r="B19" s="3" t="str">
        <f t="shared" si="1"/>
        <v>II</v>
      </c>
      <c r="C19" s="10">
        <f t="shared" si="2"/>
        <v>54800.704400000002</v>
      </c>
      <c r="D19" s="12" t="str">
        <f t="shared" si="3"/>
        <v>vis</v>
      </c>
      <c r="E19" s="57">
        <f>VLOOKUP(C19,Active!C$21:E$972,3,FALSE)</f>
        <v>9247.8638664687987</v>
      </c>
      <c r="F19" s="3" t="s">
        <v>69</v>
      </c>
      <c r="G19" s="12" t="str">
        <f t="shared" si="4"/>
        <v>54800.7044</v>
      </c>
      <c r="H19" s="10">
        <f t="shared" si="5"/>
        <v>4676.5</v>
      </c>
      <c r="I19" s="58" t="s">
        <v>118</v>
      </c>
      <c r="J19" s="59" t="s">
        <v>119</v>
      </c>
      <c r="K19" s="58" t="s">
        <v>120</v>
      </c>
      <c r="L19" s="58" t="s">
        <v>121</v>
      </c>
      <c r="M19" s="59" t="s">
        <v>103</v>
      </c>
      <c r="N19" s="59" t="s">
        <v>69</v>
      </c>
      <c r="O19" s="60" t="s">
        <v>98</v>
      </c>
      <c r="P19" s="61" t="s">
        <v>122</v>
      </c>
    </row>
    <row r="20" spans="1:16" ht="12.75" customHeight="1" thickBot="1" x14ac:dyDescent="0.25">
      <c r="A20" s="10" t="str">
        <f t="shared" si="0"/>
        <v>IBVS 5960 </v>
      </c>
      <c r="B20" s="3" t="str">
        <f t="shared" si="1"/>
        <v>I</v>
      </c>
      <c r="C20" s="10">
        <f t="shared" si="2"/>
        <v>55469.901599999997</v>
      </c>
      <c r="D20" s="12" t="str">
        <f t="shared" si="3"/>
        <v>vis</v>
      </c>
      <c r="E20" s="57">
        <f>VLOOKUP(C20,Active!C$21:E$972,3,FALSE)</f>
        <v>11968.896659686499</v>
      </c>
      <c r="F20" s="3" t="s">
        <v>69</v>
      </c>
      <c r="G20" s="12" t="str">
        <f t="shared" si="4"/>
        <v>55469.9016</v>
      </c>
      <c r="H20" s="10">
        <f t="shared" si="5"/>
        <v>6037</v>
      </c>
      <c r="I20" s="58" t="s">
        <v>123</v>
      </c>
      <c r="J20" s="59" t="s">
        <v>124</v>
      </c>
      <c r="K20" s="58" t="s">
        <v>125</v>
      </c>
      <c r="L20" s="58" t="s">
        <v>126</v>
      </c>
      <c r="M20" s="59" t="s">
        <v>103</v>
      </c>
      <c r="N20" s="59" t="s">
        <v>69</v>
      </c>
      <c r="O20" s="60" t="s">
        <v>98</v>
      </c>
      <c r="P20" s="61" t="s">
        <v>127</v>
      </c>
    </row>
    <row r="21" spans="1:16" ht="12.75" customHeight="1" thickBot="1" x14ac:dyDescent="0.25">
      <c r="A21" s="10" t="str">
        <f t="shared" si="0"/>
        <v>BAVM 215 </v>
      </c>
      <c r="B21" s="3" t="str">
        <f t="shared" si="1"/>
        <v>II</v>
      </c>
      <c r="C21" s="10">
        <f t="shared" si="2"/>
        <v>55478.502500000002</v>
      </c>
      <c r="D21" s="12" t="str">
        <f t="shared" si="3"/>
        <v>vis</v>
      </c>
      <c r="E21" s="57">
        <f>VLOOKUP(C21,Active!C$21:E$972,3,FALSE)</f>
        <v>12003.868908451437</v>
      </c>
      <c r="F21" s="3" t="s">
        <v>69</v>
      </c>
      <c r="G21" s="12" t="str">
        <f t="shared" si="4"/>
        <v>55478.5025</v>
      </c>
      <c r="H21" s="10">
        <f t="shared" si="5"/>
        <v>6054.5</v>
      </c>
      <c r="I21" s="58" t="s">
        <v>128</v>
      </c>
      <c r="J21" s="59" t="s">
        <v>129</v>
      </c>
      <c r="K21" s="58" t="s">
        <v>130</v>
      </c>
      <c r="L21" s="58" t="s">
        <v>131</v>
      </c>
      <c r="M21" s="59" t="s">
        <v>103</v>
      </c>
      <c r="N21" s="59" t="s">
        <v>104</v>
      </c>
      <c r="O21" s="60" t="s">
        <v>105</v>
      </c>
      <c r="P21" s="61" t="s">
        <v>132</v>
      </c>
    </row>
    <row r="22" spans="1:16" ht="12.75" customHeight="1" thickBot="1" x14ac:dyDescent="0.25">
      <c r="A22" s="10" t="str">
        <f t="shared" si="0"/>
        <v>IBVS 6011 </v>
      </c>
      <c r="B22" s="3" t="str">
        <f t="shared" si="1"/>
        <v>I</v>
      </c>
      <c r="C22" s="10">
        <f t="shared" si="2"/>
        <v>55903.722000000002</v>
      </c>
      <c r="D22" s="12" t="str">
        <f t="shared" si="3"/>
        <v>vis</v>
      </c>
      <c r="E22" s="57">
        <f>VLOOKUP(C22,Active!C$21:E$972,3,FALSE)</f>
        <v>13732.860308618145</v>
      </c>
      <c r="F22" s="3" t="s">
        <v>69</v>
      </c>
      <c r="G22" s="12" t="str">
        <f t="shared" si="4"/>
        <v>55903.7220</v>
      </c>
      <c r="H22" s="10">
        <f t="shared" si="5"/>
        <v>6919</v>
      </c>
      <c r="I22" s="58" t="s">
        <v>133</v>
      </c>
      <c r="J22" s="59" t="s">
        <v>134</v>
      </c>
      <c r="K22" s="58" t="s">
        <v>135</v>
      </c>
      <c r="L22" s="58" t="s">
        <v>136</v>
      </c>
      <c r="M22" s="59" t="s">
        <v>103</v>
      </c>
      <c r="N22" s="59" t="s">
        <v>69</v>
      </c>
      <c r="O22" s="60" t="s">
        <v>98</v>
      </c>
      <c r="P22" s="61" t="s">
        <v>137</v>
      </c>
    </row>
    <row r="23" spans="1:16" ht="12.75" customHeight="1" thickBot="1" x14ac:dyDescent="0.25">
      <c r="A23" s="10" t="str">
        <f t="shared" si="0"/>
        <v>BAVM 234 </v>
      </c>
      <c r="B23" s="3" t="str">
        <f t="shared" si="1"/>
        <v>I</v>
      </c>
      <c r="C23" s="10">
        <f t="shared" si="2"/>
        <v>56650.377800000002</v>
      </c>
      <c r="D23" s="12" t="str">
        <f t="shared" si="3"/>
        <v>vis</v>
      </c>
      <c r="E23" s="57">
        <f>VLOOKUP(C23,Active!C$21:E$972,3,FALSE)</f>
        <v>16768.848679529161</v>
      </c>
      <c r="F23" s="3" t="s">
        <v>69</v>
      </c>
      <c r="G23" s="12" t="str">
        <f t="shared" si="4"/>
        <v>56650.3778</v>
      </c>
      <c r="H23" s="10">
        <f t="shared" si="5"/>
        <v>8437</v>
      </c>
      <c r="I23" s="58" t="s">
        <v>138</v>
      </c>
      <c r="J23" s="59" t="s">
        <v>139</v>
      </c>
      <c r="K23" s="58" t="s">
        <v>140</v>
      </c>
      <c r="L23" s="58" t="s">
        <v>121</v>
      </c>
      <c r="M23" s="59" t="s">
        <v>103</v>
      </c>
      <c r="N23" s="59" t="s">
        <v>104</v>
      </c>
      <c r="O23" s="60" t="s">
        <v>105</v>
      </c>
      <c r="P23" s="61" t="s">
        <v>141</v>
      </c>
    </row>
    <row r="24" spans="1:16" ht="12.75" customHeight="1" thickBot="1" x14ac:dyDescent="0.25">
      <c r="A24" s="10" t="str">
        <f t="shared" si="0"/>
        <v>BAVM 239 </v>
      </c>
      <c r="B24" s="3" t="str">
        <f t="shared" si="1"/>
        <v>I</v>
      </c>
      <c r="C24" s="10">
        <f t="shared" si="2"/>
        <v>56917.461900000002</v>
      </c>
      <c r="D24" s="12" t="str">
        <f t="shared" si="3"/>
        <v>vis</v>
      </c>
      <c r="E24" s="57">
        <f>VLOOKUP(C24,Active!C$21:E$972,3,FALSE)</f>
        <v>17854.843352918469</v>
      </c>
      <c r="F24" s="3" t="s">
        <v>69</v>
      </c>
      <c r="G24" s="12" t="str">
        <f t="shared" si="4"/>
        <v>56917.4619</v>
      </c>
      <c r="H24" s="10">
        <f t="shared" si="5"/>
        <v>8980</v>
      </c>
      <c r="I24" s="58" t="s">
        <v>142</v>
      </c>
      <c r="J24" s="59" t="s">
        <v>143</v>
      </c>
      <c r="K24" s="58" t="s">
        <v>144</v>
      </c>
      <c r="L24" s="58" t="s">
        <v>145</v>
      </c>
      <c r="M24" s="59" t="s">
        <v>103</v>
      </c>
      <c r="N24" s="59" t="s">
        <v>146</v>
      </c>
      <c r="O24" s="60" t="s">
        <v>147</v>
      </c>
      <c r="P24" s="61" t="s">
        <v>148</v>
      </c>
    </row>
    <row r="25" spans="1:16" ht="12.75" customHeight="1" thickBot="1" x14ac:dyDescent="0.25">
      <c r="A25" s="10" t="str">
        <f t="shared" si="0"/>
        <v>BAVM 239 </v>
      </c>
      <c r="B25" s="3" t="str">
        <f t="shared" si="1"/>
        <v>I</v>
      </c>
      <c r="C25" s="10">
        <f t="shared" si="2"/>
        <v>56983.372900000002</v>
      </c>
      <c r="D25" s="12" t="str">
        <f t="shared" si="3"/>
        <v>vis</v>
      </c>
      <c r="E25" s="57">
        <f>VLOOKUP(C25,Active!C$21:E$972,3,FALSE)</f>
        <v>18122.845060686785</v>
      </c>
      <c r="F25" s="3" t="s">
        <v>69</v>
      </c>
      <c r="G25" s="12" t="str">
        <f t="shared" si="4"/>
        <v>56983.3729</v>
      </c>
      <c r="H25" s="10">
        <f t="shared" si="5"/>
        <v>9114</v>
      </c>
      <c r="I25" s="58" t="s">
        <v>149</v>
      </c>
      <c r="J25" s="59" t="s">
        <v>150</v>
      </c>
      <c r="K25" s="58" t="s">
        <v>151</v>
      </c>
      <c r="L25" s="58" t="s">
        <v>152</v>
      </c>
      <c r="M25" s="59" t="s">
        <v>103</v>
      </c>
      <c r="N25" s="59" t="s">
        <v>146</v>
      </c>
      <c r="O25" s="60" t="s">
        <v>147</v>
      </c>
      <c r="P25" s="61" t="s">
        <v>148</v>
      </c>
    </row>
    <row r="26" spans="1:16" ht="12.75" customHeight="1" thickBot="1" x14ac:dyDescent="0.25">
      <c r="A26" s="10" t="str">
        <f t="shared" si="0"/>
        <v> BBS 126 </v>
      </c>
      <c r="B26" s="3" t="str">
        <f t="shared" si="1"/>
        <v>II</v>
      </c>
      <c r="C26" s="10">
        <f t="shared" si="2"/>
        <v>52194.283000000003</v>
      </c>
      <c r="D26" s="12" t="str">
        <f t="shared" si="3"/>
        <v>vis</v>
      </c>
      <c r="E26" s="57">
        <f>VLOOKUP(C26,Active!C$21:E$972,3,FALSE)</f>
        <v>-1350.1453636123172</v>
      </c>
      <c r="F26" s="3" t="s">
        <v>69</v>
      </c>
      <c r="G26" s="12" t="str">
        <f t="shared" si="4"/>
        <v>52194.283</v>
      </c>
      <c r="H26" s="10">
        <f t="shared" si="5"/>
        <v>-622.5</v>
      </c>
      <c r="I26" s="58" t="s">
        <v>95</v>
      </c>
      <c r="J26" s="59" t="s">
        <v>96</v>
      </c>
      <c r="K26" s="58">
        <v>-622.5</v>
      </c>
      <c r="L26" s="58" t="s">
        <v>71</v>
      </c>
      <c r="M26" s="59" t="s">
        <v>75</v>
      </c>
      <c r="N26" s="59" t="s">
        <v>97</v>
      </c>
      <c r="O26" s="60" t="s">
        <v>98</v>
      </c>
      <c r="P26" s="60" t="s">
        <v>99</v>
      </c>
    </row>
    <row r="27" spans="1:16" ht="12.75" customHeight="1" thickBot="1" x14ac:dyDescent="0.25">
      <c r="A27" s="10" t="str">
        <f t="shared" si="0"/>
        <v>OEJV 0094 </v>
      </c>
      <c r="B27" s="3" t="str">
        <f t="shared" si="1"/>
        <v>I</v>
      </c>
      <c r="C27" s="10">
        <f t="shared" si="2"/>
        <v>54749.299099999997</v>
      </c>
      <c r="D27" s="12" t="str">
        <f t="shared" si="3"/>
        <v>vis</v>
      </c>
      <c r="E27" s="57" t="e">
        <f>VLOOKUP(C27,Active!C$21:E$972,3,FALSE)</f>
        <v>#N/A</v>
      </c>
      <c r="F27" s="3" t="s">
        <v>69</v>
      </c>
      <c r="G27" s="12" t="str">
        <f t="shared" si="4"/>
        <v>54749.2991</v>
      </c>
      <c r="H27" s="10">
        <f t="shared" si="5"/>
        <v>4572</v>
      </c>
      <c r="I27" s="58" t="s">
        <v>111</v>
      </c>
      <c r="J27" s="59" t="s">
        <v>112</v>
      </c>
      <c r="K27" s="58" t="s">
        <v>113</v>
      </c>
      <c r="L27" s="58" t="s">
        <v>114</v>
      </c>
      <c r="M27" s="59" t="s">
        <v>103</v>
      </c>
      <c r="N27" s="59" t="s">
        <v>115</v>
      </c>
      <c r="O27" s="60" t="s">
        <v>116</v>
      </c>
      <c r="P27" s="61" t="s">
        <v>117</v>
      </c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</sheetData>
  <phoneticPr fontId="7" type="noConversion"/>
  <hyperlinks>
    <hyperlink ref="A3" r:id="rId1"/>
    <hyperlink ref="P11" r:id="rId2" display="http://www.konkoly.hu/cgi-bin/IBVS?4324"/>
    <hyperlink ref="P12" r:id="rId3" display="http://www.konkoly.hu/cgi-bin/IBVS?4324"/>
    <hyperlink ref="P13" r:id="rId4" display="http://www.konkoly.hu/cgi-bin/IBVS?4324"/>
    <hyperlink ref="P14" r:id="rId5" display="http://www.konkoly.hu/cgi-bin/IBVS?4324"/>
    <hyperlink ref="P15" r:id="rId6" display="http://www.konkoly.hu/cgi-bin/IBVS?4324"/>
    <hyperlink ref="P16" r:id="rId7" display="http://www.konkoly.hu/cgi-bin/IBVS?4324"/>
    <hyperlink ref="P17" r:id="rId8" display="http://www.bav-astro.de/sfs/BAVM_link.php?BAVMnr=178"/>
    <hyperlink ref="P18" r:id="rId9" display="http://www.bav-astro.de/sfs/BAVM_link.php?BAVMnr=178"/>
    <hyperlink ref="P27" r:id="rId10" display="http://var.astro.cz/oejv/issues/oejv0094.pdf"/>
    <hyperlink ref="P19" r:id="rId11" display="http://www.konkoly.hu/cgi-bin/IBVS?5871"/>
    <hyperlink ref="P20" r:id="rId12" display="http://www.konkoly.hu/cgi-bin/IBVS?5960"/>
    <hyperlink ref="P21" r:id="rId13" display="http://www.bav-astro.de/sfs/BAVM_link.php?BAVMnr=215"/>
    <hyperlink ref="P22" r:id="rId14" display="http://www.konkoly.hu/cgi-bin/IBVS?6011"/>
    <hyperlink ref="P23" r:id="rId15" display="http://www.bav-astro.de/sfs/BAVM_link.php?BAVMnr=234"/>
    <hyperlink ref="P24" r:id="rId16" display="http://www.bav-astro.de/sfs/BAVM_link.php?BAVMnr=239"/>
    <hyperlink ref="P25" r:id="rId1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2023-05-29T07:20:18Z</dcterms:modified>
</cp:coreProperties>
</file>