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DD1459-F766-46F2-98FB-14B3956907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</sheets>
  <calcPr calcId="181029"/>
</workbook>
</file>

<file path=xl/calcChain.xml><?xml version="1.0" encoding="utf-8"?>
<calcChain xmlns="http://schemas.openxmlformats.org/spreadsheetml/2006/main">
  <c r="Q31" i="2" l="1"/>
  <c r="Q30" i="2"/>
  <c r="Q29" i="2"/>
  <c r="Q28" i="2"/>
  <c r="C9" i="2"/>
  <c r="D9" i="2"/>
  <c r="F16" i="2"/>
  <c r="F17" i="2" s="1"/>
  <c r="C17" i="2"/>
  <c r="Q21" i="2"/>
  <c r="Q22" i="2"/>
  <c r="Q23" i="2"/>
  <c r="Q24" i="2"/>
  <c r="Q25" i="2"/>
  <c r="Q26" i="2"/>
  <c r="Q27" i="2"/>
  <c r="E31" i="2"/>
  <c r="F31" i="2" s="1"/>
  <c r="G31" i="2" s="1"/>
  <c r="K31" i="2" s="1"/>
  <c r="E26" i="2"/>
  <c r="F26" i="2"/>
  <c r="G26" i="2" s="1"/>
  <c r="L26" i="2" s="1"/>
  <c r="E21" i="2"/>
  <c r="F21" i="2"/>
  <c r="U21" i="2" s="1"/>
  <c r="E29" i="2"/>
  <c r="F29" i="2" s="1"/>
  <c r="G29" i="2" s="1"/>
  <c r="K29" i="2" s="1"/>
  <c r="E27" i="2"/>
  <c r="F27" i="2"/>
  <c r="G27" i="2"/>
  <c r="L27" i="2" s="1"/>
  <c r="G25" i="2"/>
  <c r="I25" i="2"/>
  <c r="E30" i="2"/>
  <c r="F30" i="2" s="1"/>
  <c r="G30" i="2" s="1"/>
  <c r="K30" i="2" s="1"/>
  <c r="E24" i="2"/>
  <c r="F24" i="2"/>
  <c r="G24" i="2" s="1"/>
  <c r="J24" i="2" s="1"/>
  <c r="E22" i="2"/>
  <c r="F22" i="2" s="1"/>
  <c r="G22" i="2" s="1"/>
  <c r="J22" i="2" s="1"/>
  <c r="E28" i="2"/>
  <c r="F28" i="2"/>
  <c r="G28" i="2" s="1"/>
  <c r="J28" i="2" s="1"/>
  <c r="E25" i="2"/>
  <c r="F25" i="2"/>
  <c r="E23" i="2"/>
  <c r="F23" i="2"/>
  <c r="U23" i="2"/>
  <c r="C11" i="2"/>
  <c r="C12" i="2"/>
  <c r="C16" i="2" l="1"/>
  <c r="D18" i="2" s="1"/>
  <c r="O29" i="2"/>
  <c r="C15" i="2"/>
  <c r="F18" i="2" s="1"/>
  <c r="O26" i="2"/>
  <c r="O27" i="2"/>
  <c r="O22" i="2"/>
  <c r="O28" i="2"/>
  <c r="O21" i="2"/>
  <c r="O25" i="2"/>
  <c r="O24" i="2"/>
  <c r="O23" i="2"/>
  <c r="O30" i="2"/>
  <c r="O31" i="2"/>
  <c r="C18" i="2" l="1"/>
  <c r="F19" i="2"/>
</calcChain>
</file>

<file path=xl/sharedStrings.xml><?xml version="1.0" encoding="utf-8"?>
<sst xmlns="http://schemas.openxmlformats.org/spreadsheetml/2006/main" count="93" uniqueCount="81">
  <si>
    <t>0.0017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</si>
  <si>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</si>
  <si>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</si>
  <si>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</si>
  <si>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</si>
  <si>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</si>
  <si>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</si>
  <si>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</si>
  <si>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</si>
  <si>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</si>
  <si>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</si>
  <si>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</si>
  <si>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</si>
  <si>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</si>
  <si>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</si>
  <si>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</si>
  <si>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</si>
  <si>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</si>
  <si>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</si>
  <si>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</si>
  <si>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</si>
  <si>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</si>
  <si>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</si>
  <si>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</si>
  <si>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</si>
  <si>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</si>
  <si>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</si>
  <si>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</si>
  <si>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</si>
  <si>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</si>
  <si>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</si>
  <si>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</si>
  <si>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</si>
  <si>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</si>
  <si>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5471</t>
  </si>
  <si>
    <t>II</t>
  </si>
  <si>
    <t>IBVS 5588</t>
  </si>
  <si>
    <t>I</t>
  </si>
  <si>
    <t>EB</t>
  </si>
  <si>
    <t>IBVS 5754</t>
  </si>
  <si>
    <t>OEJV 0142</t>
  </si>
  <si>
    <t>Add cycle</t>
  </si>
  <si>
    <t>Old Cycle</t>
  </si>
  <si>
    <t>Nelson</t>
  </si>
  <si>
    <t>BAD?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</si>
  <si>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</si>
  <si>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</si>
  <si>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</si>
  <si>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</si>
  <si>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</si>
  <si>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</si>
  <si>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</si>
  <si>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</si>
  <si>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</si>
  <si>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</si>
  <si>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</si>
  <si>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</si>
  <si>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</si>
  <si>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</si>
  <si>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</si>
  <si>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</si>
  <si>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</si>
  <si>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</si>
  <si>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</si>
  <si>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</si>
  <si>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</si>
  <si>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</si>
  <si>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</si>
  <si>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</si>
  <si>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</si>
  <si>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Correct phases set 2013-11-26</t>
  </si>
  <si>
    <t>Linear Fit</t>
  </si>
  <si>
    <t>IBVS 6092</t>
  </si>
  <si>
    <t>IBVS 6152</t>
  </si>
  <si>
    <t>V0363 And / GSC 2305-0272</t>
  </si>
  <si>
    <t>pg</t>
  </si>
  <si>
    <t>vis</t>
  </si>
  <si>
    <t>PE</t>
  </si>
  <si>
    <t>CCD</t>
  </si>
  <si>
    <t>OEJV 0179</t>
  </si>
  <si>
    <t>RHN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</si>
</sst>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5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8" xfId="0" applyFill="1" applyBorder="1" applyAlignment="1"/>
    <xf numFmtId="0" fontId="17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Continuous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0" applyFont="1" applyAlignment="1"/>
    <xf numFmtId="0" fontId="36" fillId="0" borderId="0" xfId="41" applyFont="1" applyAlignment="1">
      <alignment wrapText="1"/>
    </xf>
    <xf numFmtId="0" fontId="36" fillId="0" borderId="0" xfId="41" applyFont="1" applyAlignment="1">
      <alignment horizontal="center" wrapText="1"/>
    </xf>
    <xf numFmtId="0" fontId="36" fillId="0" borderId="0" xfId="41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172" fontId="0" fillId="0" borderId="0" xfId="0" applyNumberForma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V363 And - O-C Diagr.</a:t>
            </a:r>
          </a:p>
        </c:rich>
      </c:tx>
      <c:layout>
        <c:manualLayout>
          <c:xMode val="edge"/>
          <c:yMode val="edge"/>
          <c:x val="0.37293233082706767"/>
          <c:y val="3.4582132564841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21037463976946"/>
          <c:w val="0.82406015037593983"/>
          <c:h val="0.64841498559077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82-4F04-8FAB-A6ED84FC8D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-0.24201499999617226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82-4F04-8FAB-A6ED84FC8D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-0.20594999999593711</c:v>
                </c:pt>
                <c:pt idx="3">
                  <c:v>-0.21618499999749474</c:v>
                </c:pt>
                <c:pt idx="7">
                  <c:v>-0.25450499999715248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82-4F04-8FAB-A6ED84FC8D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8">
                  <c:v>-0.26123999999981606</c:v>
                </c:pt>
                <c:pt idx="9">
                  <c:v>-0.26005000000441214</c:v>
                </c:pt>
                <c:pt idx="10">
                  <c:v>-0.28106999999727122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82-4F04-8FAB-A6ED84FC8D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5">
                  <c:v>-0.25131999999575783</c:v>
                </c:pt>
                <c:pt idx="6">
                  <c:v>-0.2518049999998766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82-4F04-8FAB-A6ED84FC8D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82-4F04-8FAB-A6ED84FC8D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82-4F04-8FAB-A6ED84FC8D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-0.2051232844673245</c:v>
                </c:pt>
                <c:pt idx="1">
                  <c:v>-0.20600510965130059</c:v>
                </c:pt>
                <c:pt idx="2">
                  <c:v>-0.21497567675011195</c:v>
                </c:pt>
                <c:pt idx="3">
                  <c:v>-0.21508790904625436</c:v>
                </c:pt>
                <c:pt idx="4">
                  <c:v>-0.24277721982310368</c:v>
                </c:pt>
                <c:pt idx="5">
                  <c:v>-0.25142712321865102</c:v>
                </c:pt>
                <c:pt idx="6">
                  <c:v>-0.2514511729963958</c:v>
                </c:pt>
                <c:pt idx="7">
                  <c:v>-0.25610079669372432</c:v>
                </c:pt>
                <c:pt idx="8">
                  <c:v>-0.26085463609461362</c:v>
                </c:pt>
                <c:pt idx="9">
                  <c:v>-0.26087066927977681</c:v>
                </c:pt>
                <c:pt idx="10">
                  <c:v>-0.27956536318006997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82-4F04-8FAB-A6ED84FC8D8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0">
                  <c:v>0</c:v>
                </c:pt>
                <c:pt idx="2">
                  <c:v>-0.22725499999796739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82-4F04-8FAB-A6ED84FC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357784"/>
        <c:axId val="1"/>
      </c:scatterChart>
      <c:valAx>
        <c:axId val="64135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3804034582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7521613832853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35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50720461095101"/>
          <c:w val="0.73533834586466162"/>
          <c:h val="5.7636887608069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V363 And - Eclipse Timing (O-C) Diagram</a:t>
            </a:r>
          </a:p>
        </c:rich>
      </c:tx>
      <c:layout>
        <c:manualLayout>
          <c:xMode val="edge"/>
          <c:yMode val="edge"/>
          <c:x val="0.32126180489121103"/>
          <c:y val="1.0309278350515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12154730483997E-2"/>
          <c:y val="9.2783505154639179E-2"/>
          <c:w val="0.88317807387767977"/>
          <c:h val="0.76907216494845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34-4003-8ACF-EDC9E257FA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-0.24201499999617226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34-4003-8ACF-EDC9E257FA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-0.20594999999593711</c:v>
                </c:pt>
                <c:pt idx="3">
                  <c:v>-0.21618499999749474</c:v>
                </c:pt>
                <c:pt idx="7">
                  <c:v>-0.25450499999715248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34-4003-8ACF-EDC9E257FA0D}"/>
            </c:ext>
          </c:extLst>
        </c:ser>
        <c:ser>
          <c:idx val="4"/>
          <c:order val="3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2.0000000000000001E-4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6.7999999999999996E-3</c:v>
                  </c:pt>
                  <c:pt idx="8">
                    <c:v>0</c:v>
                  </c:pt>
                  <c:pt idx="9">
                    <c:v>5.0000000000000001E-4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34-4003-8ACF-EDC9E257FA0D}"/>
            </c:ext>
          </c:extLst>
        </c:ser>
        <c:ser>
          <c:idx val="7"/>
          <c:order val="4"/>
          <c:tx>
            <c:strRef>
              <c:f>Active!$O$20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0.5</c:v>
                </c:pt>
                <c:pt idx="1">
                  <c:v>55.5</c:v>
                </c:pt>
                <c:pt idx="2">
                  <c:v>615</c:v>
                </c:pt>
                <c:pt idx="3">
                  <c:v>622</c:v>
                </c:pt>
                <c:pt idx="4">
                  <c:v>2349</c:v>
                </c:pt>
                <c:pt idx="5">
                  <c:v>2888.5</c:v>
                </c:pt>
                <c:pt idx="6">
                  <c:v>2890</c:v>
                </c:pt>
                <c:pt idx="7">
                  <c:v>3180</c:v>
                </c:pt>
                <c:pt idx="8">
                  <c:v>3476.5</c:v>
                </c:pt>
                <c:pt idx="9">
                  <c:v>3477.5</c:v>
                </c:pt>
                <c:pt idx="10">
                  <c:v>4643.5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-0.2051232844673245</c:v>
                </c:pt>
                <c:pt idx="1">
                  <c:v>-0.20600510965130059</c:v>
                </c:pt>
                <c:pt idx="2">
                  <c:v>-0.21497567675011195</c:v>
                </c:pt>
                <c:pt idx="3">
                  <c:v>-0.21508790904625436</c:v>
                </c:pt>
                <c:pt idx="4">
                  <c:v>-0.24277721982310368</c:v>
                </c:pt>
                <c:pt idx="5">
                  <c:v>-0.25142712321865102</c:v>
                </c:pt>
                <c:pt idx="6">
                  <c:v>-0.2514511729963958</c:v>
                </c:pt>
                <c:pt idx="7">
                  <c:v>-0.25610079669372432</c:v>
                </c:pt>
                <c:pt idx="8">
                  <c:v>-0.26085463609461362</c:v>
                </c:pt>
                <c:pt idx="9">
                  <c:v>-0.26087066927977681</c:v>
                </c:pt>
                <c:pt idx="10">
                  <c:v>-0.27956536318006997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34-4003-8ACF-EDC9E257F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361024"/>
        <c:axId val="1"/>
      </c:scatterChart>
      <c:valAx>
        <c:axId val="641361024"/>
        <c:scaling>
          <c:orientation val="minMax"/>
          <c:max val="3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317806068633942"/>
              <c:y val="0.93402061855670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411214953271026E-3"/>
              <c:y val="0.39175257731958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36102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186940417494543"/>
          <c:y val="0.94432989690721647"/>
          <c:w val="0.32710304903475851"/>
          <c:h val="4.3298969072164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B756CFDB-64C8-B1A2-D8D2-78CFC92FF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0</xdr:row>
      <xdr:rowOff>0</xdr:rowOff>
    </xdr:from>
    <xdr:to>
      <xdr:col>33</xdr:col>
      <xdr:colOff>47625</xdr:colOff>
      <xdr:row>27</xdr:row>
      <xdr:rowOff>9525</xdr:rowOff>
    </xdr:to>
    <xdr:graphicFrame macro="">
      <xdr:nvGraphicFramePr>
        <xdr:cNvPr id="50182" name="Chart 4">
          <a:extLst>
            <a:ext uri="{FF2B5EF4-FFF2-40B4-BE49-F238E27FC236}">
              <a16:creationId xmlns:a16="http://schemas.microsoft.com/office/drawing/2014/main" id="{DBF693F3-30B0-84A7-B70C-A09EC350F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0.42578125" customWidth="1"/>
    <col min="5" max="5" width="16.57031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8" ht="21" thickBot="1" x14ac:dyDescent="0.35">
      <c r="A1" s="41" t="s">
        <v>74</v>
      </c>
      <c r="AA1" s="3" t="s">
        <v>12</v>
      </c>
      <c r="AB1" s="3" t="s">
        <v>13</v>
      </c>
      <c r="AD1" t="s">
        <v>45</v>
      </c>
    </row>
    <row r="2" spans="1:38" ht="13.5" thickBot="1" x14ac:dyDescent="0.25">
      <c r="A2" t="s">
        <v>24</v>
      </c>
      <c r="B2" s="30" t="s">
        <v>38</v>
      </c>
      <c r="C2" s="25" t="s">
        <v>70</v>
      </c>
      <c r="D2" s="2"/>
      <c r="AA2">
        <v>55</v>
      </c>
      <c r="AB2">
        <v>-0.20594999999593711</v>
      </c>
    </row>
    <row r="3" spans="1:38" ht="13.5" thickBot="1" x14ac:dyDescent="0.25">
      <c r="AA3">
        <v>621.5</v>
      </c>
      <c r="AB3">
        <v>-0.21618499999749474</v>
      </c>
      <c r="AD3" s="38" t="s">
        <v>46</v>
      </c>
      <c r="AE3" s="38"/>
    </row>
    <row r="4" spans="1:38" ht="14.25" thickTop="1" thickBot="1" x14ac:dyDescent="0.25">
      <c r="A4" s="4" t="s">
        <v>2</v>
      </c>
      <c r="C4" s="7">
        <v>52855.2955</v>
      </c>
      <c r="D4" s="8">
        <v>1.27799</v>
      </c>
      <c r="AA4">
        <v>2348.5</v>
      </c>
      <c r="AB4">
        <v>-0.24201499999617226</v>
      </c>
      <c r="AD4" s="35" t="s">
        <v>47</v>
      </c>
      <c r="AE4" s="35">
        <v>0.99954543037005039</v>
      </c>
    </row>
    <row r="5" spans="1:38" ht="13.5" thickTop="1" x14ac:dyDescent="0.2">
      <c r="A5" s="10" t="s">
        <v>28</v>
      </c>
      <c r="B5" s="11"/>
      <c r="C5" s="12">
        <v>-9.5</v>
      </c>
      <c r="D5" s="11" t="s">
        <v>29</v>
      </c>
      <c r="AA5">
        <v>2888</v>
      </c>
      <c r="AB5">
        <v>-0.25131999999575783</v>
      </c>
      <c r="AD5" s="35" t="s">
        <v>48</v>
      </c>
      <c r="AE5" s="35">
        <v>0.99909106737364928</v>
      </c>
    </row>
    <row r="6" spans="1:38" x14ac:dyDescent="0.2">
      <c r="A6" s="4" t="s">
        <v>3</v>
      </c>
      <c r="AA6">
        <v>2889.5</v>
      </c>
      <c r="AB6">
        <v>-0.2518049999998766</v>
      </c>
      <c r="AD6" s="35" t="s">
        <v>49</v>
      </c>
      <c r="AE6" s="35">
        <v>0.99878808983153233</v>
      </c>
    </row>
    <row r="7" spans="1:38" x14ac:dyDescent="0.2">
      <c r="A7" t="s">
        <v>4</v>
      </c>
      <c r="C7">
        <v>52854.656504999999</v>
      </c>
      <c r="AD7" s="35" t="s">
        <v>50</v>
      </c>
      <c r="AE7" s="35">
        <v>7.3518120789022392E-4</v>
      </c>
    </row>
    <row r="8" spans="1:38" ht="13.5" thickBot="1" x14ac:dyDescent="0.25">
      <c r="A8" t="s">
        <v>5</v>
      </c>
      <c r="C8">
        <v>1.27799</v>
      </c>
      <c r="AD8" s="36" t="s">
        <v>51</v>
      </c>
      <c r="AE8" s="36">
        <v>5</v>
      </c>
    </row>
    <row r="9" spans="1:38" x14ac:dyDescent="0.2">
      <c r="A9" s="24" t="s">
        <v>33</v>
      </c>
      <c r="B9" s="25">
        <v>22</v>
      </c>
      <c r="C9" s="42" t="str">
        <f>"F"&amp;B9</f>
        <v>F22</v>
      </c>
      <c r="D9" s="43" t="str">
        <f>"G"&amp;B9</f>
        <v>G22</v>
      </c>
    </row>
    <row r="10" spans="1:38" ht="13.5" thickBot="1" x14ac:dyDescent="0.25">
      <c r="A10" s="11"/>
      <c r="B10" s="11"/>
      <c r="C10" s="3" t="s">
        <v>21</v>
      </c>
      <c r="D10" s="3" t="s">
        <v>22</v>
      </c>
      <c r="E10" s="11"/>
      <c r="AD10" t="s">
        <v>52</v>
      </c>
    </row>
    <row r="11" spans="1:38" x14ac:dyDescent="0.2">
      <c r="A11" s="11" t="s">
        <v>17</v>
      </c>
      <c r="B11" s="11"/>
      <c r="C11" s="22">
        <f ca="1">INTERCEPT(INDIRECT($D$9):G992,INDIRECT($C$9):F992)</f>
        <v>-0.20511526787474291</v>
      </c>
      <c r="D11" s="2"/>
      <c r="E11" s="11"/>
      <c r="AD11" s="37"/>
      <c r="AE11" s="37" t="s">
        <v>57</v>
      </c>
      <c r="AF11" s="37" t="s">
        <v>58</v>
      </c>
      <c r="AG11" s="37" t="s">
        <v>59</v>
      </c>
      <c r="AH11" s="37" t="s">
        <v>60</v>
      </c>
      <c r="AI11" s="37" t="s">
        <v>61</v>
      </c>
    </row>
    <row r="12" spans="1:38" x14ac:dyDescent="0.2">
      <c r="A12" s="11" t="s">
        <v>18</v>
      </c>
      <c r="B12" s="11"/>
      <c r="C12" s="22">
        <f ca="1">SLOPE(INDIRECT($D$9):G992,INDIRECT($C$9):F992)</f>
        <v>-1.60331851632017E-5</v>
      </c>
      <c r="D12" s="2"/>
      <c r="E12" s="11"/>
      <c r="AD12" s="35" t="s">
        <v>53</v>
      </c>
      <c r="AE12" s="35">
        <v>1</v>
      </c>
      <c r="AF12" s="35">
        <v>1.7823107758630941E-3</v>
      </c>
      <c r="AG12" s="35">
        <v>1.7823107758630941E-3</v>
      </c>
      <c r="AH12" s="35">
        <v>3297.574666402254</v>
      </c>
      <c r="AI12" s="35">
        <v>1.1633351969206212E-5</v>
      </c>
    </row>
    <row r="13" spans="1:38" x14ac:dyDescent="0.2">
      <c r="A13" s="11" t="s">
        <v>20</v>
      </c>
      <c r="B13" s="11"/>
      <c r="C13" s="2" t="s">
        <v>15</v>
      </c>
      <c r="AD13" s="35" t="s">
        <v>54</v>
      </c>
      <c r="AE13" s="35">
        <v>3</v>
      </c>
      <c r="AF13" s="35">
        <v>1.6214742253047858E-6</v>
      </c>
      <c r="AG13" s="35">
        <v>5.4049140843492857E-7</v>
      </c>
      <c r="AH13" s="35"/>
      <c r="AI13" s="35"/>
    </row>
    <row r="14" spans="1:38" ht="13.5" thickBot="1" x14ac:dyDescent="0.25">
      <c r="A14" s="11"/>
      <c r="B14" s="11"/>
      <c r="C14" s="11"/>
      <c r="AD14" s="36" t="s">
        <v>55</v>
      </c>
      <c r="AE14" s="36">
        <v>4</v>
      </c>
      <c r="AF14" s="36">
        <v>1.7839322500883988E-3</v>
      </c>
      <c r="AG14" s="36"/>
      <c r="AH14" s="36"/>
      <c r="AI14" s="36"/>
    </row>
    <row r="15" spans="1:38" ht="13.5" thickBot="1" x14ac:dyDescent="0.25">
      <c r="A15" s="13" t="s">
        <v>19</v>
      </c>
      <c r="B15" s="11"/>
      <c r="C15" s="14">
        <f ca="1">(C7+C11)+(C8+C12)*INT(MAX(F21:F3533))</f>
        <v>58788.084517653406</v>
      </c>
      <c r="E15" s="15" t="s">
        <v>41</v>
      </c>
      <c r="F15" s="12">
        <v>1</v>
      </c>
    </row>
    <row r="16" spans="1:38" x14ac:dyDescent="0.2">
      <c r="A16" s="17" t="s">
        <v>6</v>
      </c>
      <c r="B16" s="11"/>
      <c r="C16" s="18">
        <f ca="1">+C8+C12</f>
        <v>1.2779739668148367</v>
      </c>
      <c r="E16" s="15" t="s">
        <v>30</v>
      </c>
      <c r="F16" s="16">
        <f ca="1">NOW()+15018.5+$C$5/24</f>
        <v>60095.788469907406</v>
      </c>
      <c r="AD16" s="37"/>
      <c r="AE16" s="37" t="s">
        <v>62</v>
      </c>
      <c r="AF16" s="37" t="s">
        <v>50</v>
      </c>
      <c r="AG16" s="37" t="s">
        <v>63</v>
      </c>
      <c r="AH16" s="37" t="s">
        <v>64</v>
      </c>
      <c r="AI16" s="37" t="s">
        <v>65</v>
      </c>
      <c r="AJ16" s="37" t="s">
        <v>66</v>
      </c>
      <c r="AK16" s="37" t="s">
        <v>67</v>
      </c>
      <c r="AL16" s="37" t="s">
        <v>68</v>
      </c>
    </row>
    <row r="17" spans="1:38" ht="13.5" thickBot="1" x14ac:dyDescent="0.25">
      <c r="A17" s="15" t="s">
        <v>27</v>
      </c>
      <c r="B17" s="11"/>
      <c r="C17" s="11">
        <f>COUNT(C21:C2191)</f>
        <v>11</v>
      </c>
      <c r="E17" s="15" t="s">
        <v>42</v>
      </c>
      <c r="F17" s="16">
        <f ca="1">ROUND(2*(F16-$C$7)/$C$8,0)/2+F15</f>
        <v>5667</v>
      </c>
      <c r="AD17" s="35" t="s">
        <v>56</v>
      </c>
      <c r="AE17" s="35">
        <v>-0.20555725143058132</v>
      </c>
      <c r="AF17" s="35">
        <v>5.8661358018658437E-4</v>
      </c>
      <c r="AG17" s="35">
        <v>-350.41338689295202</v>
      </c>
      <c r="AH17" s="35">
        <v>5.1252605181593387E-8</v>
      </c>
      <c r="AI17" s="35">
        <v>-0.20742411940279731</v>
      </c>
      <c r="AJ17" s="35">
        <v>-0.20369038345836532</v>
      </c>
      <c r="AK17" s="35">
        <v>-0.20742411940279731</v>
      </c>
      <c r="AL17" s="35">
        <v>-0.20369038345836532</v>
      </c>
    </row>
    <row r="18" spans="1:38" ht="14.25" thickTop="1" thickBot="1" x14ac:dyDescent="0.25">
      <c r="A18" s="17" t="s">
        <v>7</v>
      </c>
      <c r="B18" s="11"/>
      <c r="C18" s="20">
        <f ca="1">+C15</f>
        <v>58788.084517653406</v>
      </c>
      <c r="D18" s="21">
        <f ca="1">+C16</f>
        <v>1.2779739668148367</v>
      </c>
      <c r="E18" s="15" t="s">
        <v>31</v>
      </c>
      <c r="F18" s="23">
        <f ca="1">ROUND(2*(F16-$C$15)/$C$16,0)/2+F15</f>
        <v>1024.5</v>
      </c>
      <c r="AD18" s="36" t="s">
        <v>69</v>
      </c>
      <c r="AE18" s="36">
        <v>-1.5846491659452643E-5</v>
      </c>
      <c r="AF18" s="36">
        <v>2.7595343688940593E-7</v>
      </c>
      <c r="AG18" s="36">
        <v>-57.424512765910769</v>
      </c>
      <c r="AH18" s="36">
        <v>1.1633351969206219E-5</v>
      </c>
      <c r="AI18" s="36">
        <v>-1.6724699478964592E-5</v>
      </c>
      <c r="AJ18" s="36">
        <v>-1.4968283839940693E-5</v>
      </c>
      <c r="AK18" s="36">
        <v>-1.6724699478964592E-5</v>
      </c>
      <c r="AL18" s="36">
        <v>-1.4968283839940693E-5</v>
      </c>
    </row>
    <row r="19" spans="1:38" ht="13.5" thickTop="1" x14ac:dyDescent="0.2">
      <c r="E19" s="15" t="s">
        <v>32</v>
      </c>
      <c r="F19" s="19">
        <f ca="1">+$C$15+$C$16*F18-15018.5-$C$5/24</f>
        <v>45079.264679988541</v>
      </c>
    </row>
    <row r="20" spans="1:38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75</v>
      </c>
      <c r="I20" s="6" t="s">
        <v>76</v>
      </c>
      <c r="J20" s="6" t="s">
        <v>77</v>
      </c>
      <c r="K20" s="6" t="s">
        <v>78</v>
      </c>
      <c r="L20" s="6" t="s">
        <v>43</v>
      </c>
      <c r="M20" s="6" t="s">
        <v>25</v>
      </c>
      <c r="N20" s="6" t="s">
        <v>26</v>
      </c>
      <c r="O20" s="6" t="s">
        <v>71</v>
      </c>
      <c r="P20" s="5" t="s">
        <v>23</v>
      </c>
      <c r="Q20" s="3" t="s">
        <v>16</v>
      </c>
      <c r="U20" s="44" t="s">
        <v>44</v>
      </c>
    </row>
    <row r="21" spans="1:38" x14ac:dyDescent="0.2">
      <c r="A21" s="26" t="s">
        <v>34</v>
      </c>
      <c r="B21" s="33" t="s">
        <v>35</v>
      </c>
      <c r="C21" s="27">
        <v>52855.2955</v>
      </c>
      <c r="D21" s="28">
        <v>2.0000000000000001E-4</v>
      </c>
      <c r="E21" s="45">
        <f t="shared" ref="E21:E28" si="0">+(C21-C$7)/C$8</f>
        <v>0.50000000000090727</v>
      </c>
      <c r="F21" s="45">
        <f t="shared" ref="F21:F31" si="1">ROUND(2*E21,0)/2</f>
        <v>0.5</v>
      </c>
      <c r="H21" s="23"/>
      <c r="O21">
        <f t="shared" ref="O21:O28" ca="1" si="2">+C$11+C$12*$F21</f>
        <v>-0.2051232844673245</v>
      </c>
      <c r="Q21" s="1">
        <f t="shared" ref="Q21:Q28" si="3">+C21-15018.5</f>
        <v>37836.7955</v>
      </c>
      <c r="U21" s="23">
        <f>+C21-(C$7+F21*C$8)</f>
        <v>0</v>
      </c>
    </row>
    <row r="22" spans="1:38" x14ac:dyDescent="0.2">
      <c r="A22" s="26" t="s">
        <v>36</v>
      </c>
      <c r="B22" s="33" t="s">
        <v>35</v>
      </c>
      <c r="C22" s="27">
        <v>52925.379000000001</v>
      </c>
      <c r="D22" s="27">
        <v>6.9999999999999999E-4</v>
      </c>
      <c r="E22">
        <f t="shared" si="0"/>
        <v>55.338848504293303</v>
      </c>
      <c r="F22">
        <f t="shared" si="1"/>
        <v>55.5</v>
      </c>
      <c r="G22">
        <f>+C22-(C$7+F22*C$8)</f>
        <v>-0.20594999999593711</v>
      </c>
      <c r="J22">
        <f>+G22</f>
        <v>-0.20594999999593711</v>
      </c>
      <c r="O22">
        <f t="shared" ca="1" si="2"/>
        <v>-0.20600510965130059</v>
      </c>
      <c r="Q22" s="1">
        <f t="shared" si="3"/>
        <v>37906.879000000001</v>
      </c>
    </row>
    <row r="23" spans="1:38" x14ac:dyDescent="0.2">
      <c r="A23" s="26" t="s">
        <v>39</v>
      </c>
      <c r="B23" s="33" t="s">
        <v>37</v>
      </c>
      <c r="C23" s="29">
        <v>53640.393100000001</v>
      </c>
      <c r="D23" s="29">
        <v>5.0000000000000001E-4</v>
      </c>
      <c r="E23">
        <f t="shared" si="0"/>
        <v>614.82217779482016</v>
      </c>
      <c r="F23">
        <f t="shared" si="1"/>
        <v>615</v>
      </c>
      <c r="O23">
        <f t="shared" ca="1" si="2"/>
        <v>-0.21497567675011195</v>
      </c>
      <c r="Q23" s="1">
        <f t="shared" si="3"/>
        <v>38621.893100000001</v>
      </c>
      <c r="U23">
        <f>+C23-(C$7+F23*C$8)</f>
        <v>-0.22725499999796739</v>
      </c>
    </row>
    <row r="24" spans="1:38" x14ac:dyDescent="0.2">
      <c r="A24" s="26" t="s">
        <v>39</v>
      </c>
      <c r="B24" s="33" t="s">
        <v>37</v>
      </c>
      <c r="C24" s="29">
        <v>53649.350100000003</v>
      </c>
      <c r="D24" s="29">
        <v>5.9999999999999995E-4</v>
      </c>
      <c r="E24">
        <f t="shared" si="0"/>
        <v>621.83083983443089</v>
      </c>
      <c r="F24">
        <f t="shared" si="1"/>
        <v>622</v>
      </c>
      <c r="G24">
        <f t="shared" ref="G24:G30" si="4">+C24-(C$7+F24*C$8)</f>
        <v>-0.21618499999749474</v>
      </c>
      <c r="J24">
        <f>+G24</f>
        <v>-0.21618499999749474</v>
      </c>
      <c r="O24">
        <f t="shared" ca="1" si="2"/>
        <v>-0.21508790904625436</v>
      </c>
      <c r="Q24" s="1">
        <f t="shared" si="3"/>
        <v>38630.850100000003</v>
      </c>
    </row>
    <row r="25" spans="1:38" x14ac:dyDescent="0.2">
      <c r="A25" s="31" t="s">
        <v>40</v>
      </c>
      <c r="B25" s="32" t="s">
        <v>37</v>
      </c>
      <c r="C25" s="31">
        <v>55856.413</v>
      </c>
      <c r="D25" s="31">
        <v>0.01</v>
      </c>
      <c r="E25">
        <f t="shared" si="0"/>
        <v>2348.8106284086743</v>
      </c>
      <c r="F25">
        <f t="shared" si="1"/>
        <v>2349</v>
      </c>
      <c r="G25">
        <f t="shared" si="4"/>
        <v>-0.24201499999617226</v>
      </c>
      <c r="I25">
        <f>+G25</f>
        <v>-0.24201499999617226</v>
      </c>
      <c r="O25">
        <f t="shared" ca="1" si="2"/>
        <v>-0.24277721982310368</v>
      </c>
      <c r="Q25" s="1">
        <f t="shared" si="3"/>
        <v>40837.913</v>
      </c>
    </row>
    <row r="26" spans="1:38" x14ac:dyDescent="0.2">
      <c r="A26" s="34" t="s">
        <v>72</v>
      </c>
      <c r="B26" s="33" t="s">
        <v>35</v>
      </c>
      <c r="C26" s="9">
        <v>56545.879300000001</v>
      </c>
      <c r="D26" s="9">
        <v>2.9999999999999997E-4</v>
      </c>
      <c r="E26">
        <f t="shared" si="0"/>
        <v>2888.3033474440344</v>
      </c>
      <c r="F26">
        <f t="shared" si="1"/>
        <v>2888.5</v>
      </c>
      <c r="G26">
        <f t="shared" si="4"/>
        <v>-0.25131999999575783</v>
      </c>
      <c r="L26">
        <f>+G26</f>
        <v>-0.25131999999575783</v>
      </c>
      <c r="O26">
        <f t="shared" ca="1" si="2"/>
        <v>-0.25142712321865102</v>
      </c>
      <c r="Q26" s="1">
        <f t="shared" si="3"/>
        <v>41527.379300000001</v>
      </c>
    </row>
    <row r="27" spans="1:38" x14ac:dyDescent="0.2">
      <c r="A27" s="34" t="s">
        <v>72</v>
      </c>
      <c r="B27" s="33" t="s">
        <v>37</v>
      </c>
      <c r="C27" s="9">
        <v>56547.7958</v>
      </c>
      <c r="D27" s="9">
        <v>5.0000000000000001E-4</v>
      </c>
      <c r="E27">
        <f t="shared" si="0"/>
        <v>2889.8029679418469</v>
      </c>
      <c r="F27">
        <f t="shared" si="1"/>
        <v>2890</v>
      </c>
      <c r="G27">
        <f t="shared" si="4"/>
        <v>-0.2518049999998766</v>
      </c>
      <c r="L27">
        <f>+G27</f>
        <v>-0.2518049999998766</v>
      </c>
      <c r="O27">
        <f t="shared" ca="1" si="2"/>
        <v>-0.2514511729963958</v>
      </c>
      <c r="Q27" s="1">
        <f t="shared" si="3"/>
        <v>41529.2958</v>
      </c>
    </row>
    <row r="28" spans="1:38" x14ac:dyDescent="0.2">
      <c r="A28" s="39" t="s">
        <v>73</v>
      </c>
      <c r="B28" s="40"/>
      <c r="C28" s="39">
        <v>56918.410199999998</v>
      </c>
      <c r="D28" s="39">
        <v>6.7999999999999996E-3</v>
      </c>
      <c r="E28">
        <f t="shared" si="0"/>
        <v>3179.8008552492583</v>
      </c>
      <c r="F28">
        <f t="shared" si="1"/>
        <v>3180</v>
      </c>
      <c r="G28">
        <f t="shared" si="4"/>
        <v>-0.25450499999715248</v>
      </c>
      <c r="J28">
        <f>+G28</f>
        <v>-0.25450499999715248</v>
      </c>
      <c r="O28">
        <f t="shared" ca="1" si="2"/>
        <v>-0.25610079669372432</v>
      </c>
      <c r="Q28" s="1">
        <f t="shared" si="3"/>
        <v>41899.910199999998</v>
      </c>
    </row>
    <row r="29" spans="1:38" x14ac:dyDescent="0.2">
      <c r="A29" s="46" t="s">
        <v>1</v>
      </c>
      <c r="B29" s="47" t="s">
        <v>37</v>
      </c>
      <c r="C29" s="48">
        <v>57297.327499999999</v>
      </c>
      <c r="D29" s="48" t="s">
        <v>0</v>
      </c>
      <c r="E29">
        <f>+(C29-C$7)/C$8</f>
        <v>3476.2955852549712</v>
      </c>
      <c r="F29">
        <f t="shared" si="1"/>
        <v>3476.5</v>
      </c>
      <c r="G29">
        <f t="shared" si="4"/>
        <v>-0.26123999999981606</v>
      </c>
      <c r="K29">
        <f>+G29</f>
        <v>-0.26123999999981606</v>
      </c>
      <c r="O29">
        <f ca="1">+C$11+C$12*$F29</f>
        <v>-0.26085463609461362</v>
      </c>
      <c r="Q29" s="1">
        <f>+C29-15018.5</f>
        <v>42278.827499999999</v>
      </c>
    </row>
    <row r="30" spans="1:38" x14ac:dyDescent="0.2">
      <c r="A30" s="49" t="s">
        <v>79</v>
      </c>
      <c r="B30" s="50" t="s">
        <v>35</v>
      </c>
      <c r="C30" s="51">
        <v>57298.606679999997</v>
      </c>
      <c r="D30" s="51">
        <v>5.0000000000000001E-4</v>
      </c>
      <c r="E30">
        <f>+(C30-C$7)/C$8</f>
        <v>3477.2965164046655</v>
      </c>
      <c r="F30">
        <f t="shared" si="1"/>
        <v>3477.5</v>
      </c>
      <c r="G30">
        <f t="shared" si="4"/>
        <v>-0.26005000000441214</v>
      </c>
      <c r="K30">
        <f>+G30</f>
        <v>-0.26005000000441214</v>
      </c>
      <c r="O30">
        <f ca="1">+C$11+C$12*$F30</f>
        <v>-0.26087066927977681</v>
      </c>
      <c r="Q30" s="1">
        <f>+C30-15018.5</f>
        <v>42280.106679999997</v>
      </c>
    </row>
    <row r="31" spans="1:38" x14ac:dyDescent="0.2">
      <c r="A31" s="4" t="s">
        <v>80</v>
      </c>
      <c r="C31" s="52">
        <v>58788.722000000002</v>
      </c>
      <c r="D31" s="9">
        <v>4.0000000000000002E-4</v>
      </c>
      <c r="E31">
        <f>+(C31-C$7)/C$8</f>
        <v>4643.2800687016352</v>
      </c>
      <c r="F31">
        <f t="shared" si="1"/>
        <v>4643.5</v>
      </c>
      <c r="G31">
        <f>+C31-(C$7+F31*C$8)</f>
        <v>-0.28106999999727122</v>
      </c>
      <c r="K31">
        <f>+G31</f>
        <v>-0.28106999999727122</v>
      </c>
      <c r="O31">
        <f ca="1">+C$11+C$12*$F31</f>
        <v>-0.27956536318006997</v>
      </c>
      <c r="Q31" s="1">
        <f>+C31-15018.5</f>
        <v>43770.222000000002</v>
      </c>
    </row>
    <row r="32" spans="1:38" x14ac:dyDescent="0.2">
      <c r="C32" s="9"/>
      <c r="D32" s="9"/>
      <c r="Q32" s="1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hyperlinks>
    <hyperlink ref="H359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2023-05-31T06:55:23Z</dcterms:modified>
</cp:coreProperties>
</file>