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258FBE4-9A72-4F56-9875-9FF4A4D601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2" i="1"/>
  <c r="F32" i="1"/>
  <c r="G32" i="1"/>
  <c r="H32" i="1"/>
  <c r="Q32" i="1"/>
  <c r="E30" i="1"/>
  <c r="F30" i="1"/>
  <c r="G30" i="1"/>
  <c r="H30" i="1"/>
  <c r="E31" i="1"/>
  <c r="F31" i="1"/>
  <c r="G31" i="1"/>
  <c r="H31" i="1"/>
  <c r="F11" i="1"/>
  <c r="E21" i="1"/>
  <c r="F21" i="1"/>
  <c r="G21" i="1"/>
  <c r="H21" i="1"/>
  <c r="E22" i="1"/>
  <c r="E12" i="2"/>
  <c r="F22" i="1"/>
  <c r="G22" i="1"/>
  <c r="H22" i="1"/>
  <c r="E23" i="1"/>
  <c r="E13" i="2"/>
  <c r="E24" i="1"/>
  <c r="E14" i="2"/>
  <c r="F24" i="1"/>
  <c r="G24" i="1"/>
  <c r="H24" i="1"/>
  <c r="E25" i="1"/>
  <c r="F25" i="1"/>
  <c r="G25" i="1"/>
  <c r="H25" i="1"/>
  <c r="E26" i="1"/>
  <c r="F26" i="1"/>
  <c r="G26" i="1"/>
  <c r="H26" i="1"/>
  <c r="Q30" i="1"/>
  <c r="Q31" i="1"/>
  <c r="H19" i="2"/>
  <c r="B19" i="2"/>
  <c r="G19" i="2"/>
  <c r="C19" i="2"/>
  <c r="D19" i="2"/>
  <c r="A19" i="2"/>
  <c r="H18" i="2"/>
  <c r="G18" i="2"/>
  <c r="C18" i="2"/>
  <c r="E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E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E29" i="1"/>
  <c r="E19" i="2"/>
  <c r="Q29" i="1"/>
  <c r="E28" i="1"/>
  <c r="F28" i="1"/>
  <c r="G28" i="1"/>
  <c r="H28" i="1"/>
  <c r="Q28" i="1"/>
  <c r="E14" i="1"/>
  <c r="E27" i="1"/>
  <c r="E17" i="2"/>
  <c r="F27" i="1"/>
  <c r="G27" i="1"/>
  <c r="H27" i="1"/>
  <c r="Q27" i="1"/>
  <c r="Q25" i="1"/>
  <c r="Q26" i="1"/>
  <c r="Q21" i="1"/>
  <c r="Q22" i="1"/>
  <c r="Q24" i="1"/>
  <c r="G11" i="1"/>
  <c r="Q23" i="1"/>
  <c r="C17" i="1"/>
  <c r="E11" i="2"/>
  <c r="E15" i="2"/>
  <c r="F23" i="1"/>
  <c r="G23" i="1"/>
  <c r="F29" i="1"/>
  <c r="G29" i="1"/>
  <c r="H29" i="1"/>
  <c r="H23" i="1"/>
  <c r="C12" i="1"/>
  <c r="C11" i="1"/>
  <c r="O24" i="1" l="1"/>
  <c r="O31" i="1"/>
  <c r="C15" i="1"/>
  <c r="O27" i="1"/>
  <c r="O22" i="1"/>
  <c r="O25" i="1"/>
  <c r="O28" i="1"/>
  <c r="O23" i="1"/>
  <c r="O29" i="1"/>
  <c r="O35" i="1"/>
  <c r="O21" i="1"/>
  <c r="O33" i="1"/>
  <c r="O32" i="1"/>
  <c r="O30" i="1"/>
  <c r="O34" i="1"/>
  <c r="O26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<sst xmlns="http://schemas.openxmlformats.org/spreadsheetml/2006/main" count="165" uniqueCount="112">
  <si>
    <t>OEJV 0191</t>
  </si>
  <si>
    <t>0.0160</t>
  </si>
  <si>
    <t>0.0128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</si>
  <si>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</si>
  <si>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</si>
  <si>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</si>
  <si>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</si>
  <si>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</si>
  <si>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</si>
  <si>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</si>
  <si>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</si>
  <si>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</si>
  <si>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</si>
  <si>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</si>
  <si>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</si>
  <si>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</si>
  <si>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</si>
  <si>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</si>
  <si>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</si>
  <si>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</si>
  <si>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</si>
  <si>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</si>
  <si>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</si>
  <si>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</si>
  <si>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</si>
  <si>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</si>
  <si>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</si>
  <si>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</si>
  <si>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</si>
  <si>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</si>
  <si>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</si>
  <si>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</si>
  <si>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</si>
  <si>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</si>
  <si>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</si>
  <si>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</si>
  <si>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</si>
  <si>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</si>
  <si>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</si>
  <si>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</si>
  <si>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</si>
  <si>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</si>
  <si>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</si>
  <si>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V0372 And / GSC 3281-0710</t>
  </si>
  <si>
    <t>EA</t>
  </si>
  <si>
    <t>And_V0372.xls</t>
  </si>
  <si>
    <t>not avail.</t>
  </si>
  <si>
    <t>IBVS 5871</t>
  </si>
  <si>
    <t>I</t>
  </si>
  <si>
    <t>VSX</t>
  </si>
  <si>
    <t>IBVS 5887</t>
  </si>
  <si>
    <t>II</t>
  </si>
  <si>
    <t>IBVS 6007</t>
  </si>
  <si>
    <t>IBVS 6042</t>
  </si>
  <si>
    <t>Add cycle</t>
  </si>
  <si>
    <t>Old Cycle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</si>
  <si>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</si>
  <si>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</si>
  <si>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</si>
  <si>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</si>
  <si>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</si>
  <si>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</si>
  <si>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</si>
  <si>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</si>
  <si>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</si>
  <si>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</si>
  <si>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</si>
  <si>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</si>
  <si>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</si>
  <si>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2454733.4251 </t>
  </si>
  <si>
    <t> 23.09.2008 22:12 </t>
  </si>
  <si>
    <t> 0.0518 </t>
  </si>
  <si>
    <t>C </t>
  </si>
  <si>
    <t>m</t>
  </si>
  <si>
    <t> M.Yilmaz et al. </t>
  </si>
  <si>
    <t>IBVS 5887 </t>
  </si>
  <si>
    <t>2454758.4248 </t>
  </si>
  <si>
    <t> 18.10.2008 22:11 </t>
  </si>
  <si>
    <t> 0.0531 </t>
  </si>
  <si>
    <t>2454762.8347 </t>
  </si>
  <si>
    <t> 23.10.2008 08:01 </t>
  </si>
  <si>
    <t> 0.0515 </t>
  </si>
  <si>
    <t> R.Diethelm </t>
  </si>
  <si>
    <t>IBVS 5871 </t>
  </si>
  <si>
    <t>2454780.4826 </t>
  </si>
  <si>
    <t> 09.11.2008 23:34 </t>
  </si>
  <si>
    <t> 0.0535 </t>
  </si>
  <si>
    <t>2455561.32461 </t>
  </si>
  <si>
    <t> 30.12.2010 19:47 </t>
  </si>
  <si>
    <t> 0.06372 </t>
  </si>
  <si>
    <t> P.Zasche et al. </t>
  </si>
  <si>
    <t>IBVS 6007 </t>
  </si>
  <si>
    <t>2455877.48043 </t>
  </si>
  <si>
    <t> 11.11.2011 23:31 </t>
  </si>
  <si>
    <t> 0.06355 </t>
  </si>
  <si>
    <t>2456203.9367 </t>
  </si>
  <si>
    <t> 03.10.2012 10:28 </t>
  </si>
  <si>
    <t> 0.0704 </t>
  </si>
  <si>
    <t>IBVS 6042 </t>
  </si>
  <si>
    <t>2456630.3832 </t>
  </si>
  <si>
    <t> 03.12.2013 21:11 </t>
  </si>
  <si>
    <t> 0.0739 </t>
  </si>
  <si>
    <t>-I</t>
  </si>
  <si>
    <t> F.Agerer </t>
  </si>
  <si>
    <t>BAVM 234 </t>
  </si>
  <si>
    <t>2456924.4840 </t>
  </si>
  <si>
    <t> 23.09.2014 23:36 </t>
  </si>
  <si>
    <t>1850</t>
  </si>
  <si>
    <t> 0.0761 </t>
  </si>
  <si>
    <t>BAVM 239 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</si>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</sst>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V372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1.1999999987892807E-3</c:v>
                </c:pt>
                <c:pt idx="1">
                  <c:v>1.720000000204891E-3</c:v>
                </c:pt>
                <c:pt idx="2">
                  <c:v>0</c:v>
                </c:pt>
                <c:pt idx="3">
                  <c:v>1.4200000005075708E-3</c:v>
                </c:pt>
                <c:pt idx="4">
                  <c:v>-1.330999999481719E-2</c:v>
                </c:pt>
                <c:pt idx="5">
                  <c:v>-2.3589999997057021E-2</c:v>
                </c:pt>
                <c:pt idx="6">
                  <c:v>-2.7200000004086178E-2</c:v>
                </c:pt>
                <c:pt idx="7">
                  <c:v>-3.7300000003597233E-2</c:v>
                </c:pt>
                <c:pt idx="8">
                  <c:v>-4.4500000003608875E-2</c:v>
                </c:pt>
                <c:pt idx="9">
                  <c:v>-5.1820000000589062E-2</c:v>
                </c:pt>
                <c:pt idx="10">
                  <c:v>-4.7699999995529652E-2</c:v>
                </c:pt>
                <c:pt idx="11">
                  <c:v>-6.2699999994947575E-2</c:v>
                </c:pt>
                <c:pt idx="12">
                  <c:v>-8.9420000003883615E-2</c:v>
                </c:pt>
                <c:pt idx="13">
                  <c:v>-9.6299999997427221E-2</c:v>
                </c:pt>
                <c:pt idx="14">
                  <c:v>-0.10098000000289176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70-442B-AFD7-684AAA841F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0-442B-AFD7-684AAA841F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70-442B-AFD7-684AAA841F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70-442B-AFD7-684AAA841F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0-442B-AFD7-684AAA841F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70-442B-AFD7-684AAA841F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70-442B-AFD7-684AAA841F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2.2206524918667765E-3</c:v>
                </c:pt>
                <c:pt idx="1">
                  <c:v>1.7011587190059571E-3</c:v>
                </c:pt>
                <c:pt idx="2">
                  <c:v>1.6094833473246362E-3</c:v>
                </c:pt>
                <c:pt idx="3">
                  <c:v>1.2427818605993521E-3</c:v>
                </c:pt>
                <c:pt idx="4">
                  <c:v>-1.4983758926994467E-2</c:v>
                </c:pt>
                <c:pt idx="5">
                  <c:v>-2.1553827230822477E-2</c:v>
                </c:pt>
                <c:pt idx="6">
                  <c:v>-2.8337804735240231E-2</c:v>
                </c:pt>
                <c:pt idx="7">
                  <c:v>-3.7199757331101264E-2</c:v>
                </c:pt>
                <c:pt idx="8">
                  <c:v>-4.3311448776522661E-2</c:v>
                </c:pt>
                <c:pt idx="9">
                  <c:v>-5.1042738454980738E-2</c:v>
                </c:pt>
                <c:pt idx="10">
                  <c:v>-5.1103855369434951E-2</c:v>
                </c:pt>
                <c:pt idx="11">
                  <c:v>-6.7147045413666132E-2</c:v>
                </c:pt>
                <c:pt idx="12">
                  <c:v>-8.8782433130457888E-2</c:v>
                </c:pt>
                <c:pt idx="13">
                  <c:v>-9.6635956637824386E-2</c:v>
                </c:pt>
                <c:pt idx="14">
                  <c:v>-9.7155450410685212E-2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70-442B-AFD7-684AAA84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0304"/>
        <c:axId val="1"/>
      </c:scatterChart>
      <c:valAx>
        <c:axId val="67665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47625</xdr:rowOff>
    </xdr:from>
    <xdr:to>
      <xdr:col>16</xdr:col>
      <xdr:colOff>238125</xdr:colOff>
      <xdr:row>19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3EE05DE-970A-1E7A-995A-4288DD839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887" TargetMode="External"/><Relationship Id="rId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43</v>
      </c>
      <c r="F1">
        <v>54762.834699999999</v>
      </c>
      <c r="G1">
        <v>2.9410799999999999</v>
      </c>
      <c r="H1" t="s">
        <v>44</v>
      </c>
      <c r="I1" t="s">
        <v>45</v>
      </c>
    </row>
    <row r="2" spans="1:9" x14ac:dyDescent="0.2">
      <c r="A2" t="s">
        <v>28</v>
      </c>
      <c r="B2" t="s">
        <v>44</v>
      </c>
      <c r="C2" s="3"/>
      <c r="D2" s="3"/>
      <c r="E2" t="s">
        <v>45</v>
      </c>
    </row>
    <row r="3" spans="1:9" ht="13.5" thickBot="1" x14ac:dyDescent="0.25"/>
    <row r="4" spans="1:9" ht="14.25" thickTop="1" thickBot="1" x14ac:dyDescent="0.25">
      <c r="A4" s="5" t="s">
        <v>4</v>
      </c>
      <c r="C4" s="8" t="s">
        <v>46</v>
      </c>
      <c r="D4" s="9" t="s">
        <v>46</v>
      </c>
    </row>
    <row r="6" spans="1:9" x14ac:dyDescent="0.2">
      <c r="A6" s="5" t="s">
        <v>5</v>
      </c>
    </row>
    <row r="7" spans="1:9" x14ac:dyDescent="0.2">
      <c r="A7" t="s">
        <v>6</v>
      </c>
      <c r="C7">
        <v>54762.834699999999</v>
      </c>
    </row>
    <row r="8" spans="1:9" x14ac:dyDescent="0.2">
      <c r="A8" t="s">
        <v>7</v>
      </c>
      <c r="C8">
        <v>2.9410799999999999</v>
      </c>
      <c r="D8" s="29" t="s">
        <v>49</v>
      </c>
    </row>
    <row r="9" spans="1:9" x14ac:dyDescent="0.2">
      <c r="A9" s="11" t="s">
        <v>35</v>
      </c>
      <c r="B9" s="12"/>
      <c r="C9" s="13">
        <v>-9.5</v>
      </c>
      <c r="D9" s="12" t="s">
        <v>36</v>
      </c>
      <c r="E9" s="12"/>
    </row>
    <row r="10" spans="1:9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9" x14ac:dyDescent="0.2">
      <c r="A11" s="12" t="s">
        <v>19</v>
      </c>
      <c r="B11" s="12"/>
      <c r="C11" s="24">
        <f ca="1">INTERCEPT(INDIRECT($G$11):G990,INDIRECT($F$11):F990)</f>
        <v>1.6094833473246362E-3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20</v>
      </c>
      <c r="B12" s="12"/>
      <c r="C12" s="24">
        <f ca="1">SLOPE(INDIRECT($G$11):G990,INDIRECT($F$11):F990)</f>
        <v>-6.1116914454214014E-5</v>
      </c>
      <c r="D12" s="3"/>
      <c r="E12" s="12"/>
    </row>
    <row r="13" spans="1:9" x14ac:dyDescent="0.2">
      <c r="A13" s="12" t="s">
        <v>23</v>
      </c>
      <c r="B13" s="12"/>
      <c r="C13" s="3" t="s">
        <v>17</v>
      </c>
      <c r="D13" s="16" t="s">
        <v>54</v>
      </c>
      <c r="E13" s="13">
        <v>1</v>
      </c>
    </row>
    <row r="14" spans="1:9" x14ac:dyDescent="0.2">
      <c r="A14" s="12"/>
      <c r="B14" s="12"/>
      <c r="C14" s="12"/>
      <c r="D14" s="16" t="s">
        <v>37</v>
      </c>
      <c r="E14" s="17">
        <f ca="1">NOW()+15018.5+$C$9/24</f>
        <v>60095.789188425922</v>
      </c>
    </row>
    <row r="15" spans="1:9" x14ac:dyDescent="0.2">
      <c r="A15" s="14" t="s">
        <v>21</v>
      </c>
      <c r="B15" s="12"/>
      <c r="C15" s="15">
        <f ca="1">(C7+C11)+(C8+C12)*INT(MAX(F21:F3531))</f>
        <v>59515.522824549589</v>
      </c>
      <c r="D15" s="16" t="s">
        <v>55</v>
      </c>
      <c r="E15" s="17">
        <f ca="1">ROUND(2*(E14-$C$7)/$C$8,0)/2+E13</f>
        <v>1814.5</v>
      </c>
    </row>
    <row r="16" spans="1:9" x14ac:dyDescent="0.2">
      <c r="A16" s="18" t="s">
        <v>8</v>
      </c>
      <c r="B16" s="12"/>
      <c r="C16" s="19">
        <f ca="1">+C8+C12</f>
        <v>2.9410188830855457</v>
      </c>
      <c r="D16" s="16" t="s">
        <v>38</v>
      </c>
      <c r="E16" s="26">
        <f ca="1">ROUND(2*(E14-$C$15)/$C$16,0)/2+E13</f>
        <v>198.5</v>
      </c>
    </row>
    <row r="17" spans="1:17" ht="13.5" thickBot="1" x14ac:dyDescent="0.25">
      <c r="A17" s="16" t="s">
        <v>34</v>
      </c>
      <c r="B17" s="12"/>
      <c r="C17" s="12">
        <f>COUNT(C21:C2189)</f>
        <v>15</v>
      </c>
      <c r="D17" s="16" t="s">
        <v>39</v>
      </c>
      <c r="E17" s="20">
        <f ca="1">+$C$15+$C$16*E16-15018.5-$C$9/24</f>
        <v>45081.210906175409</v>
      </c>
    </row>
    <row r="18" spans="1:17" ht="14.25" thickTop="1" thickBot="1" x14ac:dyDescent="0.25">
      <c r="A18" s="18" t="s">
        <v>9</v>
      </c>
      <c r="B18" s="12"/>
      <c r="C18" s="21">
        <f ca="1">+C15</f>
        <v>59515.522824549589</v>
      </c>
      <c r="D18" s="22">
        <f ca="1">+C16</f>
        <v>2.9410188830855457</v>
      </c>
      <c r="E18" s="23" t="s">
        <v>40</v>
      </c>
    </row>
    <row r="19" spans="1:17" ht="13.5" thickTop="1" x14ac:dyDescent="0.2">
      <c r="A19" s="27" t="s">
        <v>41</v>
      </c>
      <c r="E19" s="28">
        <v>21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42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x14ac:dyDescent="0.2">
      <c r="A21" s="30" t="s">
        <v>50</v>
      </c>
      <c r="B21" s="31" t="s">
        <v>48</v>
      </c>
      <c r="C21" s="30">
        <v>54733.4251</v>
      </c>
      <c r="D21" s="30">
        <v>2.0000000000000001E-4</v>
      </c>
      <c r="E21">
        <f t="shared" ref="E21:E35" si="0">+(C21-C$7)/C$8</f>
        <v>-9.9995919866168368</v>
      </c>
      <c r="F21">
        <f t="shared" ref="F21:F35" si="1">ROUND(2*E21,0)/2</f>
        <v>-10</v>
      </c>
      <c r="G21">
        <f t="shared" ref="G21:G35" si="2">+C21-(C$7+F21*C$8)</f>
        <v>1.1999999987892807E-3</v>
      </c>
      <c r="H21">
        <f t="shared" ref="H21:H35" si="3">+G21</f>
        <v>1.1999999987892807E-3</v>
      </c>
      <c r="O21">
        <f t="shared" ref="O21:O35" ca="1" si="4">+C$11+C$12*$F21</f>
        <v>2.2206524918667765E-3</v>
      </c>
      <c r="Q21" s="2">
        <f t="shared" ref="Q21:Q35" si="5">+C21-15018.5</f>
        <v>39714.9251</v>
      </c>
    </row>
    <row r="22" spans="1:17" x14ac:dyDescent="0.2">
      <c r="A22" s="30" t="s">
        <v>50</v>
      </c>
      <c r="B22" s="31" t="s">
        <v>51</v>
      </c>
      <c r="C22" s="30">
        <v>54758.424800000001</v>
      </c>
      <c r="D22" s="30">
        <v>1E-4</v>
      </c>
      <c r="E22">
        <f t="shared" si="0"/>
        <v>-1.4994151808175034</v>
      </c>
      <c r="F22">
        <f t="shared" si="1"/>
        <v>-1.5</v>
      </c>
      <c r="G22">
        <f t="shared" si="2"/>
        <v>1.720000000204891E-3</v>
      </c>
      <c r="H22">
        <f t="shared" si="3"/>
        <v>1.720000000204891E-3</v>
      </c>
      <c r="O22">
        <f t="shared" ca="1" si="4"/>
        <v>1.7011587190059571E-3</v>
      </c>
      <c r="Q22" s="2">
        <f t="shared" si="5"/>
        <v>39739.924800000001</v>
      </c>
    </row>
    <row r="23" spans="1:17" x14ac:dyDescent="0.2">
      <c r="A23" s="30" t="s">
        <v>47</v>
      </c>
      <c r="B23" s="31" t="s">
        <v>48</v>
      </c>
      <c r="C23" s="30">
        <v>54762.834699999999</v>
      </c>
      <c r="D23" s="30">
        <v>1.1000000000000001E-3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1.6094833473246362E-3</v>
      </c>
      <c r="Q23" s="2">
        <f t="shared" si="5"/>
        <v>39744.334699999999</v>
      </c>
    </row>
    <row r="24" spans="1:17" x14ac:dyDescent="0.2">
      <c r="A24" s="30" t="s">
        <v>50</v>
      </c>
      <c r="B24" s="31" t="s">
        <v>48</v>
      </c>
      <c r="C24" s="30">
        <v>54780.482600000003</v>
      </c>
      <c r="D24" s="30">
        <v>1E-4</v>
      </c>
      <c r="E24">
        <f t="shared" si="0"/>
        <v>6.0004828158375751</v>
      </c>
      <c r="F24">
        <f t="shared" si="1"/>
        <v>6</v>
      </c>
      <c r="G24">
        <f t="shared" si="2"/>
        <v>1.4200000005075708E-3</v>
      </c>
      <c r="H24">
        <f t="shared" si="3"/>
        <v>1.4200000005075708E-3</v>
      </c>
      <c r="O24">
        <f t="shared" ca="1" si="4"/>
        <v>1.2427818605993521E-3</v>
      </c>
      <c r="Q24" s="2">
        <f t="shared" si="5"/>
        <v>39761.982600000003</v>
      </c>
    </row>
    <row r="25" spans="1:17" x14ac:dyDescent="0.2">
      <c r="A25" s="32" t="s">
        <v>52</v>
      </c>
      <c r="B25" s="33" t="s">
        <v>51</v>
      </c>
      <c r="C25" s="32">
        <v>55561.324610000003</v>
      </c>
      <c r="D25" s="32">
        <v>8.1999999999999998E-4</v>
      </c>
      <c r="E25">
        <f t="shared" si="0"/>
        <v>271.49547445156333</v>
      </c>
      <c r="F25">
        <f t="shared" si="1"/>
        <v>271.5</v>
      </c>
      <c r="G25">
        <f t="shared" si="2"/>
        <v>-1.330999999481719E-2</v>
      </c>
      <c r="H25">
        <f t="shared" si="3"/>
        <v>-1.330999999481719E-2</v>
      </c>
      <c r="O25">
        <f t="shared" ca="1" si="4"/>
        <v>-1.4983758926994467E-2</v>
      </c>
      <c r="Q25" s="2">
        <f t="shared" si="5"/>
        <v>40542.824610000003</v>
      </c>
    </row>
    <row r="26" spans="1:17" x14ac:dyDescent="0.2">
      <c r="A26" s="32" t="s">
        <v>52</v>
      </c>
      <c r="B26" s="33" t="s">
        <v>48</v>
      </c>
      <c r="C26" s="32">
        <v>55877.480430000003</v>
      </c>
      <c r="D26" s="32">
        <v>5.9000000000000003E-4</v>
      </c>
      <c r="E26">
        <f t="shared" si="0"/>
        <v>378.991979136917</v>
      </c>
      <c r="F26">
        <f t="shared" si="1"/>
        <v>379</v>
      </c>
      <c r="G26">
        <f t="shared" si="2"/>
        <v>-2.3589999997057021E-2</v>
      </c>
      <c r="H26">
        <f t="shared" si="3"/>
        <v>-2.3589999997057021E-2</v>
      </c>
      <c r="O26">
        <f t="shared" ca="1" si="4"/>
        <v>-2.1553827230822477E-2</v>
      </c>
      <c r="Q26" s="2">
        <f t="shared" si="5"/>
        <v>40858.980430000003</v>
      </c>
    </row>
    <row r="27" spans="1:17" x14ac:dyDescent="0.2">
      <c r="A27" s="34" t="s">
        <v>53</v>
      </c>
      <c r="B27" s="31" t="s">
        <v>48</v>
      </c>
      <c r="C27" s="30">
        <v>56203.936699999998</v>
      </c>
      <c r="D27" s="30">
        <v>6.0000000000000006E-4</v>
      </c>
      <c r="E27">
        <f t="shared" si="0"/>
        <v>489.99075169665531</v>
      </c>
      <c r="F27">
        <f t="shared" si="1"/>
        <v>490</v>
      </c>
      <c r="G27">
        <f t="shared" si="2"/>
        <v>-2.7200000004086178E-2</v>
      </c>
      <c r="H27">
        <f t="shared" si="3"/>
        <v>-2.7200000004086178E-2</v>
      </c>
      <c r="O27">
        <f t="shared" ca="1" si="4"/>
        <v>-2.8337804735240231E-2</v>
      </c>
      <c r="Q27" s="2">
        <f t="shared" si="5"/>
        <v>41185.436699999998</v>
      </c>
    </row>
    <row r="28" spans="1:17" x14ac:dyDescent="0.2">
      <c r="A28" s="35" t="s">
        <v>56</v>
      </c>
      <c r="B28" s="36" t="s">
        <v>48</v>
      </c>
      <c r="C28" s="30">
        <v>56630.383199999997</v>
      </c>
      <c r="D28" s="37">
        <v>1.52E-2</v>
      </c>
      <c r="E28">
        <f t="shared" si="0"/>
        <v>634.98731758401584</v>
      </c>
      <c r="F28">
        <f t="shared" si="1"/>
        <v>635</v>
      </c>
      <c r="G28">
        <f t="shared" si="2"/>
        <v>-3.7300000003597233E-2</v>
      </c>
      <c r="H28">
        <f t="shared" si="3"/>
        <v>-3.7300000003597233E-2</v>
      </c>
      <c r="O28">
        <f t="shared" ca="1" si="4"/>
        <v>-3.7199757331101264E-2</v>
      </c>
      <c r="Q28" s="2">
        <f t="shared" si="5"/>
        <v>41611.883199999997</v>
      </c>
    </row>
    <row r="29" spans="1:17" x14ac:dyDescent="0.2">
      <c r="A29" s="37" t="s">
        <v>57</v>
      </c>
      <c r="B29" s="31"/>
      <c r="C29" s="37">
        <v>56924.483999999997</v>
      </c>
      <c r="D29" s="37">
        <v>4.7999999999999996E-3</v>
      </c>
      <c r="E29" s="51">
        <f t="shared" si="0"/>
        <v>734.98486950371887</v>
      </c>
      <c r="F29">
        <f t="shared" si="1"/>
        <v>735</v>
      </c>
      <c r="G29">
        <f t="shared" si="2"/>
        <v>-4.4500000003608875E-2</v>
      </c>
      <c r="H29">
        <f t="shared" si="3"/>
        <v>-4.4500000003608875E-2</v>
      </c>
      <c r="O29">
        <f t="shared" ca="1" si="4"/>
        <v>-4.3311448776522661E-2</v>
      </c>
      <c r="Q29" s="2">
        <f t="shared" si="5"/>
        <v>41905.983999999997</v>
      </c>
    </row>
    <row r="30" spans="1:17" x14ac:dyDescent="0.2">
      <c r="A30" s="52" t="s">
        <v>3</v>
      </c>
      <c r="B30" s="53" t="s">
        <v>48</v>
      </c>
      <c r="C30" s="54">
        <v>57296.523300000001</v>
      </c>
      <c r="D30" s="54" t="s">
        <v>2</v>
      </c>
      <c r="E30" s="51">
        <f t="shared" si="0"/>
        <v>861.48238062208486</v>
      </c>
      <c r="F30">
        <f t="shared" si="1"/>
        <v>861.5</v>
      </c>
      <c r="G30">
        <f t="shared" si="2"/>
        <v>-5.1820000000589062E-2</v>
      </c>
      <c r="H30">
        <f t="shared" si="3"/>
        <v>-5.1820000000589062E-2</v>
      </c>
      <c r="O30">
        <f t="shared" ca="1" si="4"/>
        <v>-5.1042738454980738E-2</v>
      </c>
      <c r="Q30" s="2">
        <f t="shared" si="5"/>
        <v>42278.023300000001</v>
      </c>
    </row>
    <row r="31" spans="1:17" x14ac:dyDescent="0.2">
      <c r="A31" s="52" t="s">
        <v>3</v>
      </c>
      <c r="B31" s="53" t="s">
        <v>48</v>
      </c>
      <c r="C31" s="54">
        <v>57299.468500000003</v>
      </c>
      <c r="D31" s="54" t="s">
        <v>1</v>
      </c>
      <c r="E31" s="51">
        <f t="shared" si="0"/>
        <v>862.48378146803327</v>
      </c>
      <c r="F31">
        <f t="shared" si="1"/>
        <v>862.5</v>
      </c>
      <c r="G31">
        <f t="shared" si="2"/>
        <v>-4.7699999995529652E-2</v>
      </c>
      <c r="H31">
        <f t="shared" si="3"/>
        <v>-4.7699999995529652E-2</v>
      </c>
      <c r="O31">
        <f t="shared" ca="1" si="4"/>
        <v>-5.1103855369434951E-2</v>
      </c>
      <c r="Q31" s="2">
        <f t="shared" si="5"/>
        <v>42280.968500000003</v>
      </c>
    </row>
    <row r="32" spans="1:17" x14ac:dyDescent="0.2">
      <c r="A32" s="55" t="s">
        <v>0</v>
      </c>
      <c r="B32" s="56" t="s">
        <v>48</v>
      </c>
      <c r="C32" s="57">
        <v>58071.487000000001</v>
      </c>
      <c r="D32" s="57">
        <v>0.01</v>
      </c>
      <c r="E32" s="51">
        <f t="shared" si="0"/>
        <v>1124.9786813007472</v>
      </c>
      <c r="F32">
        <f t="shared" si="1"/>
        <v>1125</v>
      </c>
      <c r="G32">
        <f t="shared" si="2"/>
        <v>-6.2699999994947575E-2</v>
      </c>
      <c r="H32">
        <f t="shared" si="3"/>
        <v>-6.2699999994947575E-2</v>
      </c>
      <c r="O32">
        <f t="shared" ca="1" si="4"/>
        <v>-6.7147045413666132E-2</v>
      </c>
      <c r="Q32" s="2">
        <f t="shared" si="5"/>
        <v>43052.987000000001</v>
      </c>
    </row>
    <row r="33" spans="1:17" x14ac:dyDescent="0.2">
      <c r="A33" s="58" t="s">
        <v>110</v>
      </c>
      <c r="B33" s="59" t="s">
        <v>48</v>
      </c>
      <c r="C33" s="58">
        <v>59112.602599999998</v>
      </c>
      <c r="D33" s="58">
        <v>3.8E-3</v>
      </c>
      <c r="E33" s="51">
        <f t="shared" si="0"/>
        <v>1478.9695962027552</v>
      </c>
      <c r="F33">
        <f t="shared" si="1"/>
        <v>1479</v>
      </c>
      <c r="G33">
        <f t="shared" si="2"/>
        <v>-8.9420000003883615E-2</v>
      </c>
      <c r="H33">
        <f t="shared" si="3"/>
        <v>-8.9420000003883615E-2</v>
      </c>
      <c r="O33">
        <f t="shared" ca="1" si="4"/>
        <v>-8.8782433130457888E-2</v>
      </c>
      <c r="Q33" s="2">
        <f t="shared" si="5"/>
        <v>44094.102599999998</v>
      </c>
    </row>
    <row r="34" spans="1:17" x14ac:dyDescent="0.2">
      <c r="A34" s="58" t="s">
        <v>110</v>
      </c>
      <c r="B34" s="59" t="s">
        <v>48</v>
      </c>
      <c r="C34" s="58">
        <v>59490.5245</v>
      </c>
      <c r="D34" s="58">
        <v>1.1999999999999999E-3</v>
      </c>
      <c r="E34" s="51">
        <f t="shared" si="0"/>
        <v>1607.4672569260272</v>
      </c>
      <c r="F34">
        <f t="shared" si="1"/>
        <v>1607.5</v>
      </c>
      <c r="G34">
        <f t="shared" si="2"/>
        <v>-9.6299999997427221E-2</v>
      </c>
      <c r="H34">
        <f t="shared" si="3"/>
        <v>-9.6299999997427221E-2</v>
      </c>
      <c r="O34">
        <f t="shared" ca="1" si="4"/>
        <v>-9.6635956637824386E-2</v>
      </c>
      <c r="Q34" s="2">
        <f t="shared" si="5"/>
        <v>44472.0245</v>
      </c>
    </row>
    <row r="35" spans="1:17" x14ac:dyDescent="0.2">
      <c r="A35" s="58" t="s">
        <v>111</v>
      </c>
      <c r="B35" s="59" t="s">
        <v>51</v>
      </c>
      <c r="C35" s="58">
        <v>59515.519</v>
      </c>
      <c r="D35" s="58">
        <v>0.01</v>
      </c>
      <c r="E35" s="51">
        <f t="shared" si="0"/>
        <v>1615.9656656738343</v>
      </c>
      <c r="F35">
        <f t="shared" si="1"/>
        <v>1616</v>
      </c>
      <c r="G35">
        <f t="shared" si="2"/>
        <v>-0.10098000000289176</v>
      </c>
      <c r="H35">
        <f t="shared" si="3"/>
        <v>-0.10098000000289176</v>
      </c>
      <c r="O35">
        <f t="shared" ca="1" si="4"/>
        <v>-9.7155450410685212E-2</v>
      </c>
      <c r="Q35" s="2">
        <f t="shared" si="5"/>
        <v>44497.019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hyperlinks>
    <hyperlink ref="H3589" r:id="rId1" display="http://vsolj.cetus-net.org/bulletin.html"/>
    <hyperlink ref="H64895" r:id="rId2" display="http://vsolj.cetus-net.org/bulletin.html"/>
    <hyperlink ref="H64888" r:id="rId3" display="https://www.aavso.org/ejaavso"/>
    <hyperlink ref="AP1746" r:id="rId4" display="http://cdsbib.u-strasbg.fr/cgi-bin/cdsbib?1990RMxAA..21..381G"/>
    <hyperlink ref="AP1743" r:id="rId5" display="http://cdsbib.u-strasbg.fr/cgi-bin/cdsbib?1990RMxAA..21..381G"/>
    <hyperlink ref="AP1745" r:id="rId6" display="http://cdsbib.u-strasbg.fr/cgi-bin/cdsbib?1990RMxAA..21..381G"/>
    <hyperlink ref="AP1721" r:id="rId7" display="http://cdsbib.u-strasbg.fr/cgi-bin/cdsbib?1990RMxAA..21..381G"/>
    <hyperlink ref="I64895" r:id="rId8" display="http://vsolj.cetus-net.org/bulletin.html"/>
    <hyperlink ref="AQ1882" r:id="rId9" display="http://cdsbib.u-strasbg.fr/cgi-bin/cdsbib?1990RMxAA..21..381G"/>
    <hyperlink ref="AQ3526" r:id="rId10" display="http://cdsbib.u-strasbg.fr/cgi-bin/cdsbib?1990RMxAA..21..381G"/>
    <hyperlink ref="AQ1883" r:id="rId11" display="http://cdsbib.u-strasbg.fr/cgi-bin/cdsbib?1990RMxAA..21..381G"/>
    <hyperlink ref="H64892" r:id="rId12" display="https://www.aavso.org/ejaavso"/>
    <hyperlink ref="H2733" r:id="rId13" display="http://vsolj.cetus-net.org/bulletin.html"/>
    <hyperlink ref="AP5971" r:id="rId14" display="http://cdsbib.u-strasbg.fr/cgi-bin/cdsbib?1990RMxAA..21..381G"/>
    <hyperlink ref="AP5974" r:id="rId15" display="http://cdsbib.u-strasbg.fr/cgi-bin/cdsbib?1990RMxAA..21..381G"/>
    <hyperlink ref="AP5972" r:id="rId16" display="http://cdsbib.u-strasbg.fr/cgi-bin/cdsbib?1990RMxAA..21..381G"/>
    <hyperlink ref="AP5950" r:id="rId17" display="http://cdsbib.u-strasbg.fr/cgi-bin/cdsbib?1990RMxAA..21..381G"/>
    <hyperlink ref="I2733" r:id="rId18" display="http://vsolj.cetus-net.org/bulletin.html"/>
    <hyperlink ref="AQ6084" r:id="rId19" display="http://cdsbib.u-strasbg.fr/cgi-bin/cdsbib?1990RMxAA..21..381G"/>
    <hyperlink ref="AQ636" r:id="rId20" display="http://cdsbib.u-strasbg.fr/cgi-bin/cdsbib?1990RMxAA..21..381G"/>
    <hyperlink ref="AQ6085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selection activeCell="B43" sqref="B43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58</v>
      </c>
      <c r="I1" s="39" t="s">
        <v>59</v>
      </c>
      <c r="J1" s="40" t="s">
        <v>60</v>
      </c>
    </row>
    <row r="2" spans="1:16" x14ac:dyDescent="0.2">
      <c r="I2" s="41" t="s">
        <v>61</v>
      </c>
      <c r="J2" s="42" t="s">
        <v>62</v>
      </c>
    </row>
    <row r="3" spans="1:16" x14ac:dyDescent="0.2">
      <c r="A3" s="43" t="s">
        <v>63</v>
      </c>
      <c r="I3" s="41" t="s">
        <v>64</v>
      </c>
      <c r="J3" s="42" t="s">
        <v>65</v>
      </c>
    </row>
    <row r="4" spans="1:16" x14ac:dyDescent="0.2">
      <c r="I4" s="41" t="s">
        <v>66</v>
      </c>
      <c r="J4" s="42" t="s">
        <v>65</v>
      </c>
    </row>
    <row r="5" spans="1:16" ht="13.5" thickBot="1" x14ac:dyDescent="0.25">
      <c r="I5" s="44" t="s">
        <v>67</v>
      </c>
      <c r="J5" s="45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IBVS 5887 </v>
      </c>
      <c r="B11" s="3" t="str">
        <f t="shared" ref="B11:B19" si="1">IF(H11=INT(H11),"I","II")</f>
        <v>I</v>
      </c>
      <c r="C11" s="10">
        <f t="shared" ref="C11:C19" si="2">1*G11</f>
        <v>54733.4251</v>
      </c>
      <c r="D11" s="12" t="str">
        <f t="shared" ref="D11:D19" si="3">VLOOKUP(F11,I$1:J$5,2,FALSE)</f>
        <v>vis</v>
      </c>
      <c r="E11" s="46">
        <f>VLOOKUP(C11,Active!C$21:E$972,3,FALSE)</f>
        <v>-9.9995919866168368</v>
      </c>
      <c r="F11" s="3" t="s">
        <v>67</v>
      </c>
      <c r="G11" s="12" t="str">
        <f t="shared" ref="G11:G19" si="4">MID(I11,3,LEN(I11)-3)</f>
        <v>54733.4251</v>
      </c>
      <c r="H11" s="10">
        <f t="shared" ref="H11:H19" si="5">1*K11</f>
        <v>1105</v>
      </c>
      <c r="I11" s="47" t="s">
        <v>69</v>
      </c>
      <c r="J11" s="48" t="s">
        <v>70</v>
      </c>
      <c r="K11" s="47">
        <v>1105</v>
      </c>
      <c r="L11" s="47" t="s">
        <v>71</v>
      </c>
      <c r="M11" s="48" t="s">
        <v>72</v>
      </c>
      <c r="N11" s="48" t="s">
        <v>73</v>
      </c>
      <c r="O11" s="49" t="s">
        <v>74</v>
      </c>
      <c r="P11" s="50" t="s">
        <v>75</v>
      </c>
    </row>
    <row r="12" spans="1:16" ht="12.75" customHeight="1" thickBot="1" x14ac:dyDescent="0.25">
      <c r="A12" s="10" t="str">
        <f t="shared" si="0"/>
        <v>IBVS 5887 </v>
      </c>
      <c r="B12" s="3" t="str">
        <f t="shared" si="1"/>
        <v>II</v>
      </c>
      <c r="C12" s="10">
        <f t="shared" si="2"/>
        <v>54758.424800000001</v>
      </c>
      <c r="D12" s="12" t="str">
        <f t="shared" si="3"/>
        <v>vis</v>
      </c>
      <c r="E12" s="46">
        <f>VLOOKUP(C12,Active!C$21:E$972,3,FALSE)</f>
        <v>-1.4994151808175034</v>
      </c>
      <c r="F12" s="3" t="s">
        <v>67</v>
      </c>
      <c r="G12" s="12" t="str">
        <f t="shared" si="4"/>
        <v>54758.4248</v>
      </c>
      <c r="H12" s="10">
        <f t="shared" si="5"/>
        <v>1113.5</v>
      </c>
      <c r="I12" s="47" t="s">
        <v>76</v>
      </c>
      <c r="J12" s="48" t="s">
        <v>77</v>
      </c>
      <c r="K12" s="47">
        <v>1113.5</v>
      </c>
      <c r="L12" s="47" t="s">
        <v>78</v>
      </c>
      <c r="M12" s="48" t="s">
        <v>72</v>
      </c>
      <c r="N12" s="48" t="s">
        <v>73</v>
      </c>
      <c r="O12" s="49" t="s">
        <v>74</v>
      </c>
      <c r="P12" s="50" t="s">
        <v>75</v>
      </c>
    </row>
    <row r="13" spans="1:16" ht="12.75" customHeight="1" thickBot="1" x14ac:dyDescent="0.25">
      <c r="A13" s="10" t="str">
        <f t="shared" si="0"/>
        <v>IBVS 5871 </v>
      </c>
      <c r="B13" s="3" t="str">
        <f t="shared" si="1"/>
        <v>I</v>
      </c>
      <c r="C13" s="10">
        <f t="shared" si="2"/>
        <v>54762.834699999999</v>
      </c>
      <c r="D13" s="12" t="str">
        <f t="shared" si="3"/>
        <v>vis</v>
      </c>
      <c r="E13" s="46">
        <f>VLOOKUP(C13,Active!C$21:E$972,3,FALSE)</f>
        <v>0</v>
      </c>
      <c r="F13" s="3" t="s">
        <v>67</v>
      </c>
      <c r="G13" s="12" t="str">
        <f t="shared" si="4"/>
        <v>54762.8347</v>
      </c>
      <c r="H13" s="10">
        <f t="shared" si="5"/>
        <v>1115</v>
      </c>
      <c r="I13" s="47" t="s">
        <v>79</v>
      </c>
      <c r="J13" s="48" t="s">
        <v>80</v>
      </c>
      <c r="K13" s="47">
        <v>1115</v>
      </c>
      <c r="L13" s="47" t="s">
        <v>81</v>
      </c>
      <c r="M13" s="48" t="s">
        <v>72</v>
      </c>
      <c r="N13" s="48" t="s">
        <v>67</v>
      </c>
      <c r="O13" s="49" t="s">
        <v>82</v>
      </c>
      <c r="P13" s="50" t="s">
        <v>83</v>
      </c>
    </row>
    <row r="14" spans="1:16" ht="12.75" customHeight="1" thickBot="1" x14ac:dyDescent="0.25">
      <c r="A14" s="10" t="str">
        <f t="shared" si="0"/>
        <v>IBVS 5887 </v>
      </c>
      <c r="B14" s="3" t="str">
        <f t="shared" si="1"/>
        <v>I</v>
      </c>
      <c r="C14" s="10">
        <f t="shared" si="2"/>
        <v>54780.482600000003</v>
      </c>
      <c r="D14" s="12" t="str">
        <f t="shared" si="3"/>
        <v>vis</v>
      </c>
      <c r="E14" s="46">
        <f>VLOOKUP(C14,Active!C$21:E$972,3,FALSE)</f>
        <v>6.0004828158375751</v>
      </c>
      <c r="F14" s="3" t="s">
        <v>67</v>
      </c>
      <c r="G14" s="12" t="str">
        <f t="shared" si="4"/>
        <v>54780.4826</v>
      </c>
      <c r="H14" s="10">
        <f t="shared" si="5"/>
        <v>1121</v>
      </c>
      <c r="I14" s="47" t="s">
        <v>84</v>
      </c>
      <c r="J14" s="48" t="s">
        <v>85</v>
      </c>
      <c r="K14" s="47">
        <v>1121</v>
      </c>
      <c r="L14" s="47" t="s">
        <v>86</v>
      </c>
      <c r="M14" s="48" t="s">
        <v>72</v>
      </c>
      <c r="N14" s="48" t="s">
        <v>73</v>
      </c>
      <c r="O14" s="49" t="s">
        <v>74</v>
      </c>
      <c r="P14" s="50" t="s">
        <v>75</v>
      </c>
    </row>
    <row r="15" spans="1:16" ht="12.75" customHeight="1" thickBot="1" x14ac:dyDescent="0.25">
      <c r="A15" s="10" t="str">
        <f t="shared" si="0"/>
        <v>IBVS 6007 </v>
      </c>
      <c r="B15" s="3" t="str">
        <f t="shared" si="1"/>
        <v>II</v>
      </c>
      <c r="C15" s="10">
        <f t="shared" si="2"/>
        <v>55561.324610000003</v>
      </c>
      <c r="D15" s="12" t="str">
        <f t="shared" si="3"/>
        <v>vis</v>
      </c>
      <c r="E15" s="46">
        <f>VLOOKUP(C15,Active!C$21:E$972,3,FALSE)</f>
        <v>271.49547445156333</v>
      </c>
      <c r="F15" s="3" t="s">
        <v>67</v>
      </c>
      <c r="G15" s="12" t="str">
        <f t="shared" si="4"/>
        <v>55561.32461</v>
      </c>
      <c r="H15" s="10">
        <f t="shared" si="5"/>
        <v>1386.5</v>
      </c>
      <c r="I15" s="47" t="s">
        <v>87</v>
      </c>
      <c r="J15" s="48" t="s">
        <v>88</v>
      </c>
      <c r="K15" s="47">
        <v>1386.5</v>
      </c>
      <c r="L15" s="47" t="s">
        <v>89</v>
      </c>
      <c r="M15" s="48" t="s">
        <v>72</v>
      </c>
      <c r="N15" s="48" t="s">
        <v>59</v>
      </c>
      <c r="O15" s="49" t="s">
        <v>90</v>
      </c>
      <c r="P15" s="50" t="s">
        <v>91</v>
      </c>
    </row>
    <row r="16" spans="1:16" ht="12.75" customHeight="1" thickBot="1" x14ac:dyDescent="0.25">
      <c r="A16" s="10" t="str">
        <f t="shared" si="0"/>
        <v>IBVS 6007 </v>
      </c>
      <c r="B16" s="3" t="str">
        <f t="shared" si="1"/>
        <v>I</v>
      </c>
      <c r="C16" s="10">
        <f t="shared" si="2"/>
        <v>55877.480430000003</v>
      </c>
      <c r="D16" s="12" t="str">
        <f t="shared" si="3"/>
        <v>vis</v>
      </c>
      <c r="E16" s="46">
        <f>VLOOKUP(C16,Active!C$21:E$972,3,FALSE)</f>
        <v>378.991979136917</v>
      </c>
      <c r="F16" s="3" t="s">
        <v>67</v>
      </c>
      <c r="G16" s="12" t="str">
        <f t="shared" si="4"/>
        <v>55877.48043</v>
      </c>
      <c r="H16" s="10">
        <f t="shared" si="5"/>
        <v>1494</v>
      </c>
      <c r="I16" s="47" t="s">
        <v>92</v>
      </c>
      <c r="J16" s="48" t="s">
        <v>93</v>
      </c>
      <c r="K16" s="47">
        <v>1494</v>
      </c>
      <c r="L16" s="47" t="s">
        <v>94</v>
      </c>
      <c r="M16" s="48" t="s">
        <v>72</v>
      </c>
      <c r="N16" s="48" t="s">
        <v>59</v>
      </c>
      <c r="O16" s="49" t="s">
        <v>90</v>
      </c>
      <c r="P16" s="50" t="s">
        <v>91</v>
      </c>
    </row>
    <row r="17" spans="1:16" ht="12.75" customHeight="1" thickBot="1" x14ac:dyDescent="0.25">
      <c r="A17" s="10" t="str">
        <f t="shared" si="0"/>
        <v>IBVS 6042 </v>
      </c>
      <c r="B17" s="3" t="str">
        <f t="shared" si="1"/>
        <v>I</v>
      </c>
      <c r="C17" s="10">
        <f t="shared" si="2"/>
        <v>56203.936699999998</v>
      </c>
      <c r="D17" s="12" t="str">
        <f t="shared" si="3"/>
        <v>vis</v>
      </c>
      <c r="E17" s="46">
        <f>VLOOKUP(C17,Active!C$21:E$972,3,FALSE)</f>
        <v>489.99075169665531</v>
      </c>
      <c r="F17" s="3" t="s">
        <v>67</v>
      </c>
      <c r="G17" s="12" t="str">
        <f t="shared" si="4"/>
        <v>56203.9367</v>
      </c>
      <c r="H17" s="10">
        <f t="shared" si="5"/>
        <v>1605</v>
      </c>
      <c r="I17" s="47" t="s">
        <v>95</v>
      </c>
      <c r="J17" s="48" t="s">
        <v>96</v>
      </c>
      <c r="K17" s="47">
        <v>1605</v>
      </c>
      <c r="L17" s="47" t="s">
        <v>97</v>
      </c>
      <c r="M17" s="48" t="s">
        <v>72</v>
      </c>
      <c r="N17" s="48" t="s">
        <v>67</v>
      </c>
      <c r="O17" s="49" t="s">
        <v>82</v>
      </c>
      <c r="P17" s="50" t="s">
        <v>98</v>
      </c>
    </row>
    <row r="18" spans="1:16" ht="12.75" customHeight="1" thickBot="1" x14ac:dyDescent="0.25">
      <c r="A18" s="10" t="str">
        <f t="shared" si="0"/>
        <v>BAVM 234 </v>
      </c>
      <c r="B18" s="3" t="str">
        <f t="shared" si="1"/>
        <v>I</v>
      </c>
      <c r="C18" s="10">
        <f t="shared" si="2"/>
        <v>56630.383199999997</v>
      </c>
      <c r="D18" s="12" t="str">
        <f t="shared" si="3"/>
        <v>vis</v>
      </c>
      <c r="E18" s="46">
        <f>VLOOKUP(C18,Active!C$21:E$972,3,FALSE)</f>
        <v>634.98731758401584</v>
      </c>
      <c r="F18" s="3" t="s">
        <v>67</v>
      </c>
      <c r="G18" s="12" t="str">
        <f t="shared" si="4"/>
        <v>56630.3832</v>
      </c>
      <c r="H18" s="10">
        <f t="shared" si="5"/>
        <v>1750</v>
      </c>
      <c r="I18" s="47" t="s">
        <v>99</v>
      </c>
      <c r="J18" s="48" t="s">
        <v>100</v>
      </c>
      <c r="K18" s="47">
        <v>1750</v>
      </c>
      <c r="L18" s="47" t="s">
        <v>101</v>
      </c>
      <c r="M18" s="48" t="s">
        <v>72</v>
      </c>
      <c r="N18" s="48" t="s">
        <v>102</v>
      </c>
      <c r="O18" s="49" t="s">
        <v>103</v>
      </c>
      <c r="P18" s="50" t="s">
        <v>104</v>
      </c>
    </row>
    <row r="19" spans="1:16" ht="12.75" customHeight="1" thickBot="1" x14ac:dyDescent="0.25">
      <c r="A19" s="10" t="str">
        <f t="shared" si="0"/>
        <v>BAVM 239 </v>
      </c>
      <c r="B19" s="3" t="str">
        <f t="shared" si="1"/>
        <v>I</v>
      </c>
      <c r="C19" s="10">
        <f t="shared" si="2"/>
        <v>56924.483999999997</v>
      </c>
      <c r="D19" s="12" t="str">
        <f t="shared" si="3"/>
        <v>vis</v>
      </c>
      <c r="E19" s="46">
        <f>VLOOKUP(C19,Active!C$21:E$972,3,FALSE)</f>
        <v>734.98486950371887</v>
      </c>
      <c r="F19" s="3" t="s">
        <v>67</v>
      </c>
      <c r="G19" s="12" t="str">
        <f t="shared" si="4"/>
        <v>56924.4840</v>
      </c>
      <c r="H19" s="10">
        <f t="shared" si="5"/>
        <v>1850</v>
      </c>
      <c r="I19" s="47" t="s">
        <v>105</v>
      </c>
      <c r="J19" s="48" t="s">
        <v>106</v>
      </c>
      <c r="K19" s="47" t="s">
        <v>107</v>
      </c>
      <c r="L19" s="47" t="s">
        <v>108</v>
      </c>
      <c r="M19" s="48" t="s">
        <v>72</v>
      </c>
      <c r="N19" s="48" t="s">
        <v>102</v>
      </c>
      <c r="O19" s="49" t="s">
        <v>103</v>
      </c>
      <c r="P19" s="50" t="s">
        <v>109</v>
      </c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</sheetData>
  <phoneticPr fontId="8" type="noConversion"/>
  <hyperlinks>
    <hyperlink ref="A3" r:id="rId1"/>
    <hyperlink ref="P11" r:id="rId2" display="http://www.konkoly.hu/cgi-bin/IBVS?5887"/>
    <hyperlink ref="P12" r:id="rId3" display="http://www.konkoly.hu/cgi-bin/IBVS?5887"/>
    <hyperlink ref="P13" r:id="rId4" display="http://www.konkoly.hu/cgi-bin/IBVS?5871"/>
    <hyperlink ref="P14" r:id="rId5" display="http://www.konkoly.hu/cgi-bin/IBVS?5887"/>
    <hyperlink ref="P15" r:id="rId6" display="http://www.konkoly.hu/cgi-bin/IBVS?6007"/>
    <hyperlink ref="P16" r:id="rId7" display="http://www.konkoly.hu/cgi-bin/IBVS?6007"/>
    <hyperlink ref="P17" r:id="rId8" display="http://www.konkoly.hu/cgi-bin/IBVS?6042"/>
    <hyperlink ref="P18" r:id="rId9" display="http://www.bav-astro.de/sfs/BAVM_link.php?BAVMnr=234"/>
    <hyperlink ref="P19" r:id="rId1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2023-05-31T06:56:25Z</dcterms:modified>
</cp:coreProperties>
</file>