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0C133F5-FADF-4F42-A28F-F30D08E7B090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8" i="1" l="1"/>
  <c r="F68" i="1" s="1"/>
  <c r="G68" i="1" s="1"/>
  <c r="Q68" i="1"/>
  <c r="S65" i="1"/>
  <c r="S19" i="1"/>
  <c r="E19" i="1" s="1"/>
  <c r="E64" i="1"/>
  <c r="F64" i="1"/>
  <c r="G64" i="1"/>
  <c r="Q64" i="1"/>
  <c r="E65" i="1"/>
  <c r="F65" i="1"/>
  <c r="G65" i="1"/>
  <c r="Q65" i="1"/>
  <c r="E66" i="1"/>
  <c r="F66" i="1"/>
  <c r="G66" i="1"/>
  <c r="Q66" i="1"/>
  <c r="E67" i="1"/>
  <c r="F67" i="1"/>
  <c r="G67" i="1"/>
  <c r="Q67" i="1"/>
  <c r="E63" i="1"/>
  <c r="F63" i="1"/>
  <c r="G63" i="1"/>
  <c r="Q63" i="1"/>
  <c r="E60" i="1"/>
  <c r="F60" i="1"/>
  <c r="G60" i="1"/>
  <c r="E61" i="1"/>
  <c r="F61" i="1"/>
  <c r="G61" i="1"/>
  <c r="R61" i="1"/>
  <c r="E62" i="1"/>
  <c r="F62" i="1"/>
  <c r="G62" i="1"/>
  <c r="Q60" i="1"/>
  <c r="Q61" i="1"/>
  <c r="Q62" i="1"/>
  <c r="E56" i="1"/>
  <c r="F56" i="1"/>
  <c r="G56" i="1"/>
  <c r="S56" i="1"/>
  <c r="K56" i="1"/>
  <c r="E57" i="1"/>
  <c r="F57" i="1"/>
  <c r="G57" i="1"/>
  <c r="E55" i="1"/>
  <c r="F55" i="1"/>
  <c r="G55" i="1"/>
  <c r="E54" i="1"/>
  <c r="F54" i="1"/>
  <c r="E59" i="1"/>
  <c r="F59" i="1"/>
  <c r="G59" i="1"/>
  <c r="E58" i="1"/>
  <c r="F58" i="1"/>
  <c r="E46" i="1"/>
  <c r="F46" i="1"/>
  <c r="G46" i="1"/>
  <c r="E47" i="1"/>
  <c r="F47" i="1"/>
  <c r="G47" i="1"/>
  <c r="E49" i="1"/>
  <c r="F49" i="1"/>
  <c r="G49" i="1"/>
  <c r="E50" i="1"/>
  <c r="F50" i="1"/>
  <c r="G50" i="1"/>
  <c r="E51" i="1"/>
  <c r="F51" i="1"/>
  <c r="G51" i="1"/>
  <c r="G54" i="1"/>
  <c r="K54" i="1"/>
  <c r="R54" i="1"/>
  <c r="G58" i="1"/>
  <c r="R58" i="1"/>
  <c r="E48" i="1"/>
  <c r="F48" i="1"/>
  <c r="E52" i="1"/>
  <c r="F52" i="1"/>
  <c r="E53" i="1"/>
  <c r="F53" i="1"/>
  <c r="C13" i="1"/>
  <c r="G48" i="1"/>
  <c r="S48" i="1"/>
  <c r="G52" i="1"/>
  <c r="S52" i="1"/>
  <c r="G53" i="1"/>
  <c r="K53" i="1"/>
  <c r="S53" i="1"/>
  <c r="Q56" i="1"/>
  <c r="Q57" i="1"/>
  <c r="Q55" i="1"/>
  <c r="Q54" i="1"/>
  <c r="Q59" i="1"/>
  <c r="K58" i="1"/>
  <c r="Q5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E12" i="2"/>
  <c r="E13" i="2"/>
  <c r="E20" i="2"/>
  <c r="E21" i="2"/>
  <c r="E28" i="2"/>
  <c r="E29" i="2"/>
  <c r="H35" i="2"/>
  <c r="B35" i="2"/>
  <c r="G35" i="2"/>
  <c r="C35" i="2"/>
  <c r="E35" i="2"/>
  <c r="D35" i="2"/>
  <c r="A35" i="2"/>
  <c r="H34" i="2"/>
  <c r="G34" i="2"/>
  <c r="D34" i="2"/>
  <c r="C34" i="2"/>
  <c r="E34" i="2"/>
  <c r="B34" i="2"/>
  <c r="A34" i="2"/>
  <c r="H33" i="2"/>
  <c r="G33" i="2"/>
  <c r="D33" i="2"/>
  <c r="C33" i="2"/>
  <c r="E33" i="2"/>
  <c r="B33" i="2"/>
  <c r="A33" i="2"/>
  <c r="H32" i="2"/>
  <c r="B32" i="2"/>
  <c r="G32" i="2"/>
  <c r="D32" i="2"/>
  <c r="C32" i="2"/>
  <c r="E32" i="2"/>
  <c r="A32" i="2"/>
  <c r="H31" i="2"/>
  <c r="B31" i="2"/>
  <c r="G31" i="2"/>
  <c r="C31" i="2"/>
  <c r="E31" i="2"/>
  <c r="D31" i="2"/>
  <c r="A31" i="2"/>
  <c r="H30" i="2"/>
  <c r="G30" i="2"/>
  <c r="D30" i="2"/>
  <c r="C30" i="2"/>
  <c r="E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C27" i="2"/>
  <c r="E27" i="2"/>
  <c r="D27" i="2"/>
  <c r="A27" i="2"/>
  <c r="H26" i="2"/>
  <c r="G26" i="2"/>
  <c r="D26" i="2"/>
  <c r="C26" i="2"/>
  <c r="E26" i="2"/>
  <c r="B26" i="2"/>
  <c r="A26" i="2"/>
  <c r="H25" i="2"/>
  <c r="G25" i="2"/>
  <c r="D25" i="2"/>
  <c r="C25" i="2"/>
  <c r="E25" i="2"/>
  <c r="B25" i="2"/>
  <c r="A25" i="2"/>
  <c r="H24" i="2"/>
  <c r="B24" i="2"/>
  <c r="G24" i="2"/>
  <c r="D24" i="2"/>
  <c r="C24" i="2"/>
  <c r="E24" i="2"/>
  <c r="A24" i="2"/>
  <c r="H23" i="2"/>
  <c r="B23" i="2"/>
  <c r="G23" i="2"/>
  <c r="C23" i="2"/>
  <c r="E23" i="2"/>
  <c r="D23" i="2"/>
  <c r="A23" i="2"/>
  <c r="H22" i="2"/>
  <c r="G22" i="2"/>
  <c r="D22" i="2"/>
  <c r="C22" i="2"/>
  <c r="E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C19" i="2"/>
  <c r="E19" i="2"/>
  <c r="D19" i="2"/>
  <c r="A19" i="2"/>
  <c r="H18" i="2"/>
  <c r="G18" i="2"/>
  <c r="D18" i="2"/>
  <c r="C18" i="2"/>
  <c r="E18" i="2"/>
  <c r="B18" i="2"/>
  <c r="A18" i="2"/>
  <c r="H17" i="2"/>
  <c r="G17" i="2"/>
  <c r="D17" i="2"/>
  <c r="C17" i="2"/>
  <c r="E17" i="2"/>
  <c r="B17" i="2"/>
  <c r="A17" i="2"/>
  <c r="H16" i="2"/>
  <c r="B16" i="2"/>
  <c r="G16" i="2"/>
  <c r="D16" i="2"/>
  <c r="C16" i="2"/>
  <c r="E16" i="2"/>
  <c r="A16" i="2"/>
  <c r="H15" i="2"/>
  <c r="B15" i="2"/>
  <c r="G15" i="2"/>
  <c r="C15" i="2"/>
  <c r="E15" i="2"/>
  <c r="D15" i="2"/>
  <c r="A15" i="2"/>
  <c r="H14" i="2"/>
  <c r="G14" i="2"/>
  <c r="D14" i="2"/>
  <c r="C14" i="2"/>
  <c r="E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C11" i="2"/>
  <c r="E11" i="2"/>
  <c r="D11" i="2"/>
  <c r="A11" i="2"/>
  <c r="R25" i="1"/>
  <c r="S33" i="1"/>
  <c r="R41" i="1"/>
  <c r="K52" i="1"/>
  <c r="K48" i="1"/>
  <c r="E45" i="1"/>
  <c r="F45" i="1"/>
  <c r="G45" i="1"/>
  <c r="S45" i="1"/>
  <c r="J45" i="1"/>
  <c r="E44" i="1"/>
  <c r="F44" i="1"/>
  <c r="G44" i="1"/>
  <c r="E43" i="1"/>
  <c r="F43" i="1"/>
  <c r="G43" i="1"/>
  <c r="S43" i="1"/>
  <c r="K43" i="1"/>
  <c r="E42" i="1"/>
  <c r="F42" i="1"/>
  <c r="G42" i="1"/>
  <c r="E41" i="1"/>
  <c r="F41" i="1"/>
  <c r="G41" i="1"/>
  <c r="K41" i="1"/>
  <c r="E40" i="1"/>
  <c r="F40" i="1"/>
  <c r="G40" i="1"/>
  <c r="E39" i="1"/>
  <c r="F39" i="1"/>
  <c r="G39" i="1"/>
  <c r="R39" i="1"/>
  <c r="J39" i="1"/>
  <c r="E38" i="1"/>
  <c r="F38" i="1"/>
  <c r="G38" i="1"/>
  <c r="E37" i="1"/>
  <c r="F37" i="1"/>
  <c r="G37" i="1"/>
  <c r="R37" i="1"/>
  <c r="J37" i="1"/>
  <c r="E36" i="1"/>
  <c r="F36" i="1"/>
  <c r="G36" i="1"/>
  <c r="E35" i="1"/>
  <c r="F35" i="1"/>
  <c r="G35" i="1"/>
  <c r="R35" i="1"/>
  <c r="J35" i="1"/>
  <c r="E34" i="1"/>
  <c r="F34" i="1"/>
  <c r="G34" i="1"/>
  <c r="E33" i="1"/>
  <c r="F33" i="1"/>
  <c r="G33" i="1"/>
  <c r="J33" i="1"/>
  <c r="E32" i="1"/>
  <c r="F32" i="1"/>
  <c r="G32" i="1"/>
  <c r="E31" i="1"/>
  <c r="F31" i="1"/>
  <c r="G31" i="1"/>
  <c r="R31" i="1"/>
  <c r="K31" i="1"/>
  <c r="E30" i="1"/>
  <c r="F30" i="1"/>
  <c r="G30" i="1"/>
  <c r="E29" i="1"/>
  <c r="F29" i="1"/>
  <c r="G29" i="1"/>
  <c r="S29" i="1"/>
  <c r="K29" i="1"/>
  <c r="E28" i="1"/>
  <c r="F28" i="1"/>
  <c r="G28" i="1"/>
  <c r="E27" i="1"/>
  <c r="F27" i="1"/>
  <c r="G27" i="1"/>
  <c r="S27" i="1"/>
  <c r="J27" i="1"/>
  <c r="E26" i="1"/>
  <c r="F26" i="1"/>
  <c r="G26" i="1"/>
  <c r="E25" i="1"/>
  <c r="F25" i="1"/>
  <c r="G25" i="1"/>
  <c r="K25" i="1"/>
  <c r="E24" i="1"/>
  <c r="F24" i="1"/>
  <c r="G24" i="1"/>
  <c r="E23" i="1"/>
  <c r="F23" i="1"/>
  <c r="G23" i="1"/>
  <c r="S23" i="1"/>
  <c r="J23" i="1"/>
  <c r="E22" i="1"/>
  <c r="F22" i="1"/>
  <c r="G22" i="1"/>
  <c r="E21" i="1"/>
  <c r="F21" i="1"/>
  <c r="G21" i="1"/>
  <c r="R21" i="1"/>
  <c r="H21" i="1"/>
  <c r="F12" i="1"/>
  <c r="F13" i="1" s="1"/>
  <c r="D14" i="1"/>
  <c r="D13" i="1"/>
  <c r="C14" i="1"/>
  <c r="C17" i="1"/>
  <c r="Q21" i="1"/>
  <c r="K63" i="1"/>
  <c r="R63" i="1"/>
  <c r="R28" i="1"/>
  <c r="K28" i="1"/>
  <c r="R55" i="1"/>
  <c r="K55" i="1"/>
  <c r="J22" i="1"/>
  <c r="S22" i="1"/>
  <c r="J38" i="1"/>
  <c r="S38" i="1"/>
  <c r="S32" i="1"/>
  <c r="K32" i="1"/>
  <c r="R50" i="1"/>
  <c r="K50" i="1"/>
  <c r="K57" i="1"/>
  <c r="R57" i="1"/>
  <c r="K62" i="1"/>
  <c r="R62" i="1"/>
  <c r="S34" i="1"/>
  <c r="J34" i="1"/>
  <c r="S44" i="1"/>
  <c r="K44" i="1"/>
  <c r="K51" i="1"/>
  <c r="R51" i="1"/>
  <c r="R42" i="1"/>
  <c r="K42" i="1"/>
  <c r="K49" i="1"/>
  <c r="R49" i="1"/>
  <c r="R59" i="1"/>
  <c r="K59" i="1"/>
  <c r="K46" i="1"/>
  <c r="R46" i="1"/>
  <c r="R26" i="1"/>
  <c r="J26" i="1"/>
  <c r="R36" i="1"/>
  <c r="J36" i="1"/>
  <c r="K30" i="1"/>
  <c r="R30" i="1"/>
  <c r="S24" i="1"/>
  <c r="J24" i="1"/>
  <c r="R40" i="1"/>
  <c r="J40" i="1"/>
  <c r="R47" i="1"/>
  <c r="J47" i="1"/>
  <c r="K60" i="1"/>
  <c r="S60" i="1"/>
  <c r="K61" i="1"/>
  <c r="R67" i="1"/>
  <c r="K67" i="1"/>
  <c r="K66" i="1"/>
  <c r="R66" i="1"/>
  <c r="K65" i="1"/>
  <c r="K64" i="1"/>
  <c r="R64" i="1"/>
  <c r="D11" i="1"/>
  <c r="D12" i="1"/>
  <c r="P68" i="1" l="1"/>
  <c r="K68" i="1"/>
  <c r="R68" i="1"/>
  <c r="P67" i="1"/>
  <c r="P28" i="1"/>
  <c r="P53" i="1"/>
  <c r="P61" i="1"/>
  <c r="P36" i="1"/>
  <c r="D15" i="1"/>
  <c r="C19" i="1" s="1"/>
  <c r="P55" i="1"/>
  <c r="P50" i="1"/>
  <c r="P39" i="1"/>
  <c r="P44" i="1"/>
  <c r="P56" i="1"/>
  <c r="P52" i="1"/>
  <c r="P46" i="1"/>
  <c r="P27" i="1"/>
  <c r="P35" i="1"/>
  <c r="P51" i="1"/>
  <c r="P30" i="1"/>
  <c r="P25" i="1"/>
  <c r="P31" i="1"/>
  <c r="P21" i="1"/>
  <c r="P62" i="1"/>
  <c r="P45" i="1"/>
  <c r="P38" i="1"/>
  <c r="P48" i="1"/>
  <c r="P43" i="1"/>
  <c r="P41" i="1"/>
  <c r="P49" i="1"/>
  <c r="P37" i="1"/>
  <c r="P22" i="1"/>
  <c r="P58" i="1"/>
  <c r="P59" i="1"/>
  <c r="P26" i="1"/>
  <c r="P29" i="1"/>
  <c r="P40" i="1"/>
  <c r="P64" i="1"/>
  <c r="P47" i="1"/>
  <c r="P65" i="1"/>
  <c r="P24" i="1"/>
  <c r="P54" i="1"/>
  <c r="P32" i="1"/>
  <c r="P23" i="1"/>
  <c r="P33" i="1"/>
  <c r="P66" i="1"/>
  <c r="P34" i="1"/>
  <c r="P60" i="1"/>
  <c r="P57" i="1"/>
  <c r="P63" i="1"/>
  <c r="P42" i="1"/>
  <c r="D16" i="1"/>
  <c r="D19" i="1" s="1"/>
  <c r="C11" i="1"/>
  <c r="C12" i="1"/>
  <c r="C16" i="1" l="1"/>
  <c r="D18" i="1" s="1"/>
  <c r="O68" i="1"/>
  <c r="O32" i="1"/>
  <c r="O49" i="1"/>
  <c r="O50" i="1"/>
  <c r="O60" i="1"/>
  <c r="O44" i="1"/>
  <c r="O58" i="1"/>
  <c r="O37" i="1"/>
  <c r="O30" i="1"/>
  <c r="O28" i="1"/>
  <c r="O22" i="1"/>
  <c r="O56" i="1"/>
  <c r="O51" i="1"/>
  <c r="O25" i="1"/>
  <c r="O64" i="1"/>
  <c r="O67" i="1"/>
  <c r="O48" i="1"/>
  <c r="O33" i="1"/>
  <c r="O63" i="1"/>
  <c r="O36" i="1"/>
  <c r="O46" i="1"/>
  <c r="O53" i="1"/>
  <c r="O47" i="1"/>
  <c r="O55" i="1"/>
  <c r="O21" i="1"/>
  <c r="O34" i="1"/>
  <c r="O43" i="1"/>
  <c r="O61" i="1"/>
  <c r="O45" i="1"/>
  <c r="O27" i="1"/>
  <c r="O35" i="1"/>
  <c r="O23" i="1"/>
  <c r="O59" i="1"/>
  <c r="O31" i="1"/>
  <c r="O66" i="1"/>
  <c r="O57" i="1"/>
  <c r="O54" i="1"/>
  <c r="O26" i="1"/>
  <c r="O38" i="1"/>
  <c r="O24" i="1"/>
  <c r="O40" i="1"/>
  <c r="O29" i="1"/>
  <c r="O42" i="1"/>
  <c r="O41" i="1"/>
  <c r="O62" i="1"/>
  <c r="O52" i="1"/>
  <c r="C15" i="1"/>
  <c r="C18" i="1" s="1"/>
  <c r="O39" i="1"/>
  <c r="R19" i="1"/>
  <c r="E18" i="1" s="1"/>
  <c r="F14" i="1" l="1"/>
  <c r="F15" i="1" s="1"/>
</calcChain>
</file>

<file path=xl/sharedStrings.xml><?xml version="1.0" encoding="utf-8"?>
<sst xmlns="http://schemas.openxmlformats.org/spreadsheetml/2006/main" count="357" uniqueCount="201">
  <si>
    <t>JAVSO..45..215</t>
  </si>
  <si>
    <t>JAVSO..46…79 (2018)</t>
  </si>
  <si>
    <t>IBVS 6191</t>
  </si>
  <si>
    <t>IBVS 6196</t>
  </si>
  <si>
    <t>OEJV 0181</t>
  </si>
  <si>
    <t>0.0003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</si>
  <si>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</si>
  <si>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</si>
  <si>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</si>
  <si>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</si>
  <si>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</si>
  <si>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</si>
  <si>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</si>
  <si>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</si>
  <si>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</si>
  <si>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</si>
  <si>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</si>
  <si>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</si>
  <si>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</si>
  <si>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</si>
  <si>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</si>
  <si>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</si>
  <si>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</si>
  <si>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</si>
  <si>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</si>
  <si>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Prim. Ephem. =</t>
  </si>
  <si>
    <t>Sec. Ephem. =</t>
  </si>
  <si>
    <t>Prim. Fit</t>
  </si>
  <si>
    <t>Sec. Fit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</si>
  <si>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</si>
  <si>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</si>
  <si>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</si>
  <si>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</si>
  <si>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</si>
  <si>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</si>
  <si>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</si>
  <si>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</si>
  <si>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</si>
  <si>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</si>
  <si>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</si>
  <si>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</si>
  <si>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pg</t>
  </si>
  <si>
    <t>vis</t>
  </si>
  <si>
    <t>PE</t>
  </si>
  <si>
    <t>CCD</t>
  </si>
  <si>
    <t>s5</t>
  </si>
  <si>
    <t>s6</t>
  </si>
  <si>
    <t>s7</t>
  </si>
  <si>
    <t>EB</t>
  </si>
  <si>
    <t>A0</t>
  </si>
  <si>
    <t>IBVS 4855</t>
  </si>
  <si>
    <t>GCVS</t>
  </si>
  <si>
    <t>Period checked by ToMcat 2009-12-29</t>
  </si>
  <si>
    <t>Hipparcos</t>
  </si>
  <si>
    <t>I</t>
  </si>
  <si>
    <t>II</t>
  </si>
  <si>
    <t>IBVS 5599</t>
  </si>
  <si>
    <t>IBVS 5407</t>
  </si>
  <si>
    <t>IBVS 5623</t>
  </si>
  <si>
    <t>IBVS 5606</t>
  </si>
  <si>
    <t>IBVS 5649</t>
  </si>
  <si>
    <t>IBVS 5657</t>
  </si>
  <si>
    <t>IBVS 5731</t>
  </si>
  <si>
    <t>Petriew, Vance</t>
  </si>
  <si>
    <t>2013JAVSO..41..122</t>
  </si>
  <si>
    <t>IBVS 5760</t>
  </si>
  <si>
    <t xml:space="preserve">IBVS 5736 </t>
  </si>
  <si>
    <t>IBVS 5898</t>
  </si>
  <si>
    <t>BAVM 203 </t>
  </si>
  <si>
    <t>IBVS 5938</t>
  </si>
  <si>
    <t>IBVS 5980</t>
  </si>
  <si>
    <t>OEJV 0160</t>
  </si>
  <si>
    <t>IBVS 6044</t>
  </si>
  <si>
    <t>IBVS 6152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</si>
  <si>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</si>
  <si>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</si>
  <si>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</si>
  <si>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</si>
  <si>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</si>
  <si>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</si>
  <si>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</si>
  <si>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2451510.5408 </t>
  </si>
  <si>
    <t> 28.11.1999 00:58 </t>
  </si>
  <si>
    <t> 0.0027 </t>
  </si>
  <si>
    <t>E </t>
  </si>
  <si>
    <t>R</t>
  </si>
  <si>
    <t> V.Keskin et al. </t>
  </si>
  <si>
    <t>IBVS 4855 </t>
  </si>
  <si>
    <t>2451510.5419 </t>
  </si>
  <si>
    <t> 28.11.1999 01:00 </t>
  </si>
  <si>
    <t> 0.0038 </t>
  </si>
  <si>
    <t>G</t>
  </si>
  <si>
    <t>2451510.5421 </t>
  </si>
  <si>
    <t> 0.0040 </t>
  </si>
  <si>
    <t>B</t>
  </si>
  <si>
    <t>2452595.5273 </t>
  </si>
  <si>
    <t> 17.11.2002 00:39 </t>
  </si>
  <si>
    <t> -0.0067 </t>
  </si>
  <si>
    <t>?</t>
  </si>
  <si>
    <t> T.Tanriverdi et al. </t>
  </si>
  <si>
    <t>IBVS 5407 </t>
  </si>
  <si>
    <t>2452697.3649 </t>
  </si>
  <si>
    <t> 26.02.2003 20:45 </t>
  </si>
  <si>
    <t> 0.0003 </t>
  </si>
  <si>
    <t> M.Drozdz et al. </t>
  </si>
  <si>
    <t>IBVS 5623 </t>
  </si>
  <si>
    <t>2453252.4473 </t>
  </si>
  <si>
    <t> 03.09.2004 22:44 </t>
  </si>
  <si>
    <t> 0.0056 </t>
  </si>
  <si>
    <t> C.H.Porowski </t>
  </si>
  <si>
    <t>IBVS 5606 </t>
  </si>
  <si>
    <t>2453304.3583 </t>
  </si>
  <si>
    <t> 25.10.2004 20:35 </t>
  </si>
  <si>
    <t> 0.0029 </t>
  </si>
  <si>
    <t>2453305.5504 </t>
  </si>
  <si>
    <t> 27.10.2004 01:12 </t>
  </si>
  <si>
    <t> -0.0030 </t>
  </si>
  <si>
    <t>2453306.3455 </t>
  </si>
  <si>
    <t> 27.10.2004 20:17 </t>
  </si>
  <si>
    <t> -0.0065 </t>
  </si>
  <si>
    <t>2453314.3346 </t>
  </si>
  <si>
    <t> 04.11.2004 20:01 </t>
  </si>
  <si>
    <t> -0.0042 </t>
  </si>
  <si>
    <t> B.Albayrak et al. </t>
  </si>
  <si>
    <t>IBVS 5649 </t>
  </si>
  <si>
    <t>2453315.5360 </t>
  </si>
  <si>
    <t> 06.11.2004 00:51 </t>
  </si>
  <si>
    <t> -0.0008 </t>
  </si>
  <si>
    <t>2453346.2795 </t>
  </si>
  <si>
    <t> 06.12.2004 18:42 </t>
  </si>
  <si>
    <t> -0.0061 </t>
  </si>
  <si>
    <t>o</t>
  </si>
  <si>
    <t> H. Jungbluth </t>
  </si>
  <si>
    <t>BAVM 173 </t>
  </si>
  <si>
    <t>2453655.3697 </t>
  </si>
  <si>
    <t> 11.10.2005 20:52 </t>
  </si>
  <si>
    <t> -0.0020 </t>
  </si>
  <si>
    <t>C </t>
  </si>
  <si>
    <t>BAVM 178 </t>
  </si>
  <si>
    <t>2453990.8126 </t>
  </si>
  <si>
    <t> 12.09.2006 07:30 </t>
  </si>
  <si>
    <t> -0.0014 </t>
  </si>
  <si>
    <t>V </t>
  </si>
  <si>
    <t> V.Petriew </t>
  </si>
  <si>
    <t> JAAVSO 41;122 </t>
  </si>
  <si>
    <t>2454011.9868 </t>
  </si>
  <si>
    <t> 03.10.2006 11:40 </t>
  </si>
  <si>
    <t> 0.0080 </t>
  </si>
  <si>
    <t> R. Nelson </t>
  </si>
  <si>
    <t>IBVS 5760 </t>
  </si>
  <si>
    <t>2454018.3694 </t>
  </si>
  <si>
    <t> 09.10.2006 20:51 </t>
  </si>
  <si>
    <t> 0.0013 </t>
  </si>
  <si>
    <t> Sz.Csizmadia et al. </t>
  </si>
  <si>
    <t>IBVS 5736 </t>
  </si>
  <si>
    <t>2454752.3656 </t>
  </si>
  <si>
    <t> 12.10.2008 20:46 </t>
  </si>
  <si>
    <t> 0.0179 </t>
  </si>
  <si>
    <t> S.Parimucha et al. </t>
  </si>
  <si>
    <t>IBVS 5898 </t>
  </si>
  <si>
    <t>2454757.5422 </t>
  </si>
  <si>
    <t> 18.10.2008 01:00 </t>
  </si>
  <si>
    <t> 0.0031 </t>
  </si>
  <si>
    <t> U.Schmidt </t>
  </si>
  <si>
    <t>2454774.3113 </t>
  </si>
  <si>
    <t> 03.11.2008 19:28 </t>
  </si>
  <si>
    <t> 0.0001 </t>
  </si>
  <si>
    <t>2454846.6108 </t>
  </si>
  <si>
    <t> 15.01.2009 02:39 </t>
  </si>
  <si>
    <t> 0.0198 </t>
  </si>
  <si>
    <t> S.Dvorak </t>
  </si>
  <si>
    <t>IBVS 5938 </t>
  </si>
  <si>
    <t>2455460.3745 </t>
  </si>
  <si>
    <t> 20.09.2010 20:59 </t>
  </si>
  <si>
    <t> 0.0041 </t>
  </si>
  <si>
    <t>IBVS 5980 </t>
  </si>
  <si>
    <t>2455488.3321 </t>
  </si>
  <si>
    <t> 18.10.2010 19:58 </t>
  </si>
  <si>
    <t> 0.0081 </t>
  </si>
  <si>
    <t>2455833.35993 </t>
  </si>
  <si>
    <t> 28.09.2011 20:38 </t>
  </si>
  <si>
    <t> 0.00967 </t>
  </si>
  <si>
    <t> S.Francesco </t>
  </si>
  <si>
    <t>OEJV 0160 </t>
  </si>
  <si>
    <t>2456220.3286 </t>
  </si>
  <si>
    <t> 19.10.2012 19:53 </t>
  </si>
  <si>
    <t> 0.0218 </t>
  </si>
  <si>
    <t>IBVS 6044 </t>
  </si>
  <si>
    <t>2456965.4905 </t>
  </si>
  <si>
    <t> 03.11.2014 23:46 </t>
  </si>
  <si>
    <t> 0.0227 </t>
  </si>
  <si>
    <t>-I</t>
  </si>
  <si>
    <t> F.Agerer </t>
  </si>
  <si>
    <t>BAVM 239 </t>
  </si>
  <si>
    <t>OEJV 0179</t>
  </si>
  <si>
    <t>JAVSO 49, 256</t>
  </si>
  <si>
    <t>JBAV, 55</t>
  </si>
  <si>
    <t>JAVSO, 49, 265</t>
  </si>
  <si>
    <t>JBAV, 60</t>
  </si>
  <si>
    <t>V0376 And / GSC 03303-00979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</si>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</sst>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14" fillId="0" borderId="0" xfId="0" applyFont="1" applyAlignment="1"/>
    <xf numFmtId="165" fontId="0" fillId="0" borderId="0" xfId="0" applyNumberFormat="1" applyAlignment="1">
      <alignment horizontal="left"/>
    </xf>
    <xf numFmtId="2" fontId="0" fillId="0" borderId="0" xfId="0" applyNumberFormat="1" applyAlignment="1"/>
    <xf numFmtId="165" fontId="0" fillId="0" borderId="0" xfId="0" applyNumberForma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9" fillId="24" borderId="19" xfId="38" applyFill="1" applyBorder="1" applyAlignment="1" applyProtection="1">
      <alignment horizontal="right" vertical="top" wrapText="1"/>
    </xf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2" fontId="15" fillId="0" borderId="0" xfId="0" applyNumberFormat="1" applyFont="1" applyAlignment="1"/>
    <xf numFmtId="165" fontId="15" fillId="0" borderId="0" xfId="0" applyNumberFormat="1" applyFont="1" applyAlignment="1"/>
    <xf numFmtId="14" fontId="15" fillId="0" borderId="0" xfId="0" applyNumberFormat="1" applyFont="1" applyAlignment="1"/>
    <xf numFmtId="0" fontId="15" fillId="0" borderId="0" xfId="43" applyFont="1"/>
    <xf numFmtId="0" fontId="15" fillId="0" borderId="0" xfId="43" applyFont="1" applyAlignment="1">
      <alignment horizontal="center"/>
    </xf>
    <xf numFmtId="0" fontId="15" fillId="0" borderId="0" xfId="43" applyFont="1" applyAlignment="1">
      <alignment horizontal="left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35" fillId="0" borderId="0" xfId="43" applyFont="1" applyAlignment="1">
      <alignment horizontal="left" vertical="center"/>
    </xf>
    <xf numFmtId="0" fontId="35" fillId="0" borderId="0" xfId="43" applyFont="1" applyAlignment="1">
      <alignment horizontal="center" vertical="center"/>
    </xf>
    <xf numFmtId="0" fontId="16" fillId="0" borderId="0" xfId="0" applyFont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6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V376 And - Prim. O-C Diagr.</a:t>
            </a:r>
          </a:p>
        </c:rich>
      </c:tx>
      <c:layout>
        <c:manualLayout>
          <c:xMode val="edge"/>
          <c:yMode val="edge"/>
          <c:x val="0.280665498933215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62994537538308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-4.1559300007065758E-4</c:v>
                </c:pt>
                <c:pt idx="4">
                  <c:v>-3.9070658895070665E-3</c:v>
                </c:pt>
                <c:pt idx="5">
                  <c:v>-1.4402599917957559E-3</c:v>
                </c:pt>
                <c:pt idx="7">
                  <c:v>7.273591952980496E-3</c:v>
                </c:pt>
                <c:pt idx="9">
                  <c:v>1.2627226948097814E-2</c:v>
                </c:pt>
                <c:pt idx="10">
                  <c:v>5.3701694560004398E-4</c:v>
                </c:pt>
                <c:pt idx="14">
                  <c:v>3.122071000689175E-3</c:v>
                </c:pt>
                <c:pt idx="15">
                  <c:v>-4.4894999155076221E-4</c:v>
                </c:pt>
                <c:pt idx="16">
                  <c:v>1.940840003953781E-3</c:v>
                </c:pt>
                <c:pt idx="18">
                  <c:v>0</c:v>
                </c:pt>
                <c:pt idx="19">
                  <c:v>4.5148730059736408E-3</c:v>
                </c:pt>
                <c:pt idx="20">
                  <c:v>3.4860529995057732E-3</c:v>
                </c:pt>
                <c:pt idx="21">
                  <c:v>5.5860529973870143E-3</c:v>
                </c:pt>
                <c:pt idx="25">
                  <c:v>1.1005893007677514E-2</c:v>
                </c:pt>
                <c:pt idx="26">
                  <c:v>8.0144520034082234E-3</c:v>
                </c:pt>
                <c:pt idx="28">
                  <c:v>1.2807413004338741E-2</c:v>
                </c:pt>
                <c:pt idx="29">
                  <c:v>1.6921678005019203E-2</c:v>
                </c:pt>
                <c:pt idx="30">
                  <c:v>1.8870605999836698E-2</c:v>
                </c:pt>
                <c:pt idx="33">
                  <c:v>2.2420974004489835E-2</c:v>
                </c:pt>
                <c:pt idx="34">
                  <c:v>3.3348903001751751E-2</c:v>
                </c:pt>
                <c:pt idx="36">
                  <c:v>2.6993349005351774E-2</c:v>
                </c:pt>
                <c:pt idx="37">
                  <c:v>3.3581647003302351E-2</c:v>
                </c:pt>
                <c:pt idx="38">
                  <c:v>3.0226542003219947E-2</c:v>
                </c:pt>
                <c:pt idx="40">
                  <c:v>3.4283457003766671E-2</c:v>
                </c:pt>
                <c:pt idx="41">
                  <c:v>3.4445021003193688E-2</c:v>
                </c:pt>
                <c:pt idx="42">
                  <c:v>4.4975679003982805E-2</c:v>
                </c:pt>
                <c:pt idx="43">
                  <c:v>3.6796098946069833E-2</c:v>
                </c:pt>
                <c:pt idx="45">
                  <c:v>4.4975679003982805E-2</c:v>
                </c:pt>
                <c:pt idx="46">
                  <c:v>4.0135447001375724E-2</c:v>
                </c:pt>
                <c:pt idx="47">
                  <c:v>4.5857981007429771E-2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1A-4796-B48B-3E661E44F993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-2.0664491662854646E-2</c:v>
                </c:pt>
                <c:pt idx="1">
                  <c:v>-4.0866970529991071E-3</c:v>
                </c:pt>
                <c:pt idx="2">
                  <c:v>-4.0866970529991071E-3</c:v>
                </c:pt>
                <c:pt idx="3">
                  <c:v>-4.0866970529991071E-3</c:v>
                </c:pt>
                <c:pt idx="4">
                  <c:v>-2.1313223139568394E-3</c:v>
                </c:pt>
                <c:pt idx="5">
                  <c:v>1.8894032461885665E-3</c:v>
                </c:pt>
                <c:pt idx="6">
                  <c:v>2.4502812646990035E-3</c:v>
                </c:pt>
                <c:pt idx="7">
                  <c:v>3.5962320397732684E-3</c:v>
                </c:pt>
                <c:pt idx="8">
                  <c:v>3.6292248643915296E-3</c:v>
                </c:pt>
                <c:pt idx="9">
                  <c:v>3.8821698531315307E-3</c:v>
                </c:pt>
                <c:pt idx="10">
                  <c:v>3.9261602859558785E-3</c:v>
                </c:pt>
                <c:pt idx="11">
                  <c:v>4.0691291926350098E-3</c:v>
                </c:pt>
                <c:pt idx="12">
                  <c:v>5.5076163459911887E-3</c:v>
                </c:pt>
                <c:pt idx="13">
                  <c:v>5.7935541593494505E-3</c:v>
                </c:pt>
                <c:pt idx="14">
                  <c:v>5.8001527242731027E-3</c:v>
                </c:pt>
                <c:pt idx="15">
                  <c:v>5.8045517675555372E-3</c:v>
                </c:pt>
                <c:pt idx="16">
                  <c:v>5.8485422003798854E-3</c:v>
                </c:pt>
                <c:pt idx="17">
                  <c:v>5.8551407653035376E-3</c:v>
                </c:pt>
                <c:pt idx="18">
                  <c:v>6.0245039316772775E-3</c:v>
                </c:pt>
                <c:pt idx="19">
                  <c:v>7.7269336819795441E-3</c:v>
                </c:pt>
                <c:pt idx="20">
                  <c:v>9.5745318606021597E-3</c:v>
                </c:pt>
                <c:pt idx="21">
                  <c:v>9.5745318606021597E-3</c:v>
                </c:pt>
                <c:pt idx="22">
                  <c:v>9.6911065075866824E-3</c:v>
                </c:pt>
                <c:pt idx="23">
                  <c:v>9.7262988538461617E-3</c:v>
                </c:pt>
                <c:pt idx="24">
                  <c:v>1.376901963040374E-2</c:v>
                </c:pt>
                <c:pt idx="25">
                  <c:v>1.3797613411739566E-2</c:v>
                </c:pt>
                <c:pt idx="26">
                  <c:v>1.3889993320670698E-2</c:v>
                </c:pt>
                <c:pt idx="27">
                  <c:v>1.4288106737731046E-2</c:v>
                </c:pt>
                <c:pt idx="28">
                  <c:v>1.766877150028219E-2</c:v>
                </c:pt>
                <c:pt idx="29">
                  <c:v>1.7822738015167407E-2</c:v>
                </c:pt>
                <c:pt idx="30">
                  <c:v>1.9723124713179239E-2</c:v>
                </c:pt>
                <c:pt idx="31">
                  <c:v>2.18544611835189E-2</c:v>
                </c:pt>
                <c:pt idx="32">
                  <c:v>2.595876856603057E-2</c:v>
                </c:pt>
                <c:pt idx="33">
                  <c:v>2.7606210275302401E-2</c:v>
                </c:pt>
                <c:pt idx="34">
                  <c:v>2.7830561482706576E-2</c:v>
                </c:pt>
                <c:pt idx="35">
                  <c:v>2.8145093077400662E-2</c:v>
                </c:pt>
                <c:pt idx="36">
                  <c:v>2.815609068560675E-2</c:v>
                </c:pt>
                <c:pt idx="37">
                  <c:v>3.0188448682091626E-2</c:v>
                </c:pt>
                <c:pt idx="38">
                  <c:v>3.0210443898503803E-2</c:v>
                </c:pt>
                <c:pt idx="39">
                  <c:v>3.0480985060373542E-2</c:v>
                </c:pt>
                <c:pt idx="40">
                  <c:v>3.1904075562241202E-2</c:v>
                </c:pt>
                <c:pt idx="41">
                  <c:v>3.2414364583003633E-2</c:v>
                </c:pt>
                <c:pt idx="42">
                  <c:v>3.8141918936733743E-2</c:v>
                </c:pt>
                <c:pt idx="43">
                  <c:v>3.805393807108505E-2</c:v>
                </c:pt>
                <c:pt idx="45">
                  <c:v>3.8141918936733743E-2</c:v>
                </c:pt>
                <c:pt idx="46">
                  <c:v>3.9866343903448183E-2</c:v>
                </c:pt>
                <c:pt idx="47">
                  <c:v>4.2268221535657582E-2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1A-4796-B48B-3E661E44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6344"/>
        <c:axId val="1"/>
      </c:scatterChart>
      <c:valAx>
        <c:axId val="676646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6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48484402027707"/>
          <c:y val="0.92024539877300615"/>
          <c:w val="0.3035345218022383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V376 And - O-C Diagr.</a:t>
            </a:r>
          </a:p>
        </c:rich>
      </c:tx>
      <c:layout>
        <c:manualLayout>
          <c:xMode val="edge"/>
          <c:yMode val="edge"/>
          <c:x val="0.362903225806451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6774193548387"/>
          <c:y val="0.14678942920199375"/>
          <c:w val="0.7919354838709677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1">
                    <c:v>1.4E-3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1.8000000000000001E-4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1.3999999999999999E-4</c:v>
                  </c:pt>
                  <c:pt idx="8">
                    <c:v>2.1000000000000001E-4</c:v>
                  </c:pt>
                  <c:pt idx="9">
                    <c:v>4.0999999999999999E-4</c:v>
                  </c:pt>
                  <c:pt idx="10">
                    <c:v>2.4000000000000001E-4</c:v>
                  </c:pt>
                  <c:pt idx="11">
                    <c:v>2.7999999999999998E-4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7.0000000000000001E-3</c:v>
                  </c:pt>
                  <c:pt idx="19">
                    <c:v>8.0000000000000002E-3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4.1000000000000003E-3</c:v>
                  </c:pt>
                  <c:pt idx="31">
                    <c:v>5.9999999999999995E-4</c:v>
                  </c:pt>
                  <c:pt idx="32">
                    <c:v>1.55E-2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2.0000000000000001E-4</c:v>
                  </c:pt>
                  <c:pt idx="38">
                    <c:v>8.0000000000000002E-3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5.0000000000000001E-4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5.0000000000000001E-4</c:v>
                  </c:pt>
                  <c:pt idx="46">
                    <c:v>1.2999999999999999E-3</c:v>
                  </c:pt>
                  <c:pt idx="47">
                    <c:v>4.0000000000000002E-4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1">
                    <c:v>1.4E-3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1.8000000000000001E-4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1.3999999999999999E-4</c:v>
                  </c:pt>
                  <c:pt idx="8">
                    <c:v>2.1000000000000001E-4</c:v>
                  </c:pt>
                  <c:pt idx="9">
                    <c:v>4.0999999999999999E-4</c:v>
                  </c:pt>
                  <c:pt idx="10">
                    <c:v>2.4000000000000001E-4</c:v>
                  </c:pt>
                  <c:pt idx="11">
                    <c:v>2.7999999999999998E-4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7.0000000000000001E-3</c:v>
                  </c:pt>
                  <c:pt idx="19">
                    <c:v>8.0000000000000002E-3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4.1000000000000003E-3</c:v>
                  </c:pt>
                  <c:pt idx="31">
                    <c:v>5.9999999999999995E-4</c:v>
                  </c:pt>
                  <c:pt idx="32">
                    <c:v>1.55E-2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2.0000000000000001E-4</c:v>
                  </c:pt>
                  <c:pt idx="38">
                    <c:v>8.0000000000000002E-3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5.0000000000000001E-4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5.0000000000000001E-4</c:v>
                  </c:pt>
                  <c:pt idx="46">
                    <c:v>1.2999999999999999E-3</c:v>
                  </c:pt>
                  <c:pt idx="4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Active!$H$21:$H$921</c:f>
              <c:numCache>
                <c:formatCode>0.0000</c:formatCode>
                <c:ptCount val="901"/>
                <c:pt idx="0">
                  <c:v>-4.1559300007065758E-4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8F-4AD4-A1B6-31FF40FA36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Active!$I$21:$I$921</c:f>
              <c:numCache>
                <c:formatCode>0.0000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8F-4AD4-A1B6-31FF40FA36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Active!$J$21:$J$921</c:f>
              <c:numCache>
                <c:formatCode>0.0000</c:formatCode>
                <c:ptCount val="901"/>
                <c:pt idx="1">
                  <c:v>6.6417685084161349E-3</c:v>
                </c:pt>
                <c:pt idx="2">
                  <c:v>7.7417685024556704E-3</c:v>
                </c:pt>
                <c:pt idx="3">
                  <c:v>7.941768504679203E-3</c:v>
                </c:pt>
                <c:pt idx="5">
                  <c:v>-1.4402599917957559E-3</c:v>
                </c:pt>
                <c:pt idx="6">
                  <c:v>5.6045625024125911E-3</c:v>
                </c:pt>
                <c:pt idx="12">
                  <c:v>1.1644967504253145E-2</c:v>
                </c:pt>
                <c:pt idx="13">
                  <c:v>9.0286025006207637E-3</c:v>
                </c:pt>
                <c:pt idx="14">
                  <c:v>3.122071000689175E-3</c:v>
                </c:pt>
                <c:pt idx="15">
                  <c:v>-4.4894999155076221E-4</c:v>
                </c:pt>
                <c:pt idx="16">
                  <c:v>1.940840003953781E-3</c:v>
                </c:pt>
                <c:pt idx="17">
                  <c:v>5.3343085019150749E-3</c:v>
                </c:pt>
                <c:pt idx="18">
                  <c:v>0</c:v>
                </c:pt>
                <c:pt idx="19">
                  <c:v>4.5148730059736408E-3</c:v>
                </c:pt>
                <c:pt idx="24">
                  <c:v>2.5767529499717057E-2</c:v>
                </c:pt>
                <c:pt idx="26">
                  <c:v>8.0144520034082234E-3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8F-4AD4-A1B6-31FF40FA36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Active!$K$21:$K$921</c:f>
              <c:numCache>
                <c:formatCode>0.0000</c:formatCode>
                <c:ptCount val="901"/>
                <c:pt idx="4">
                  <c:v>-3.9070658895070665E-3</c:v>
                </c:pt>
                <c:pt idx="7">
                  <c:v>7.273591952980496E-3</c:v>
                </c:pt>
                <c:pt idx="8">
                  <c:v>9.4509342743549496E-3</c:v>
                </c:pt>
                <c:pt idx="9">
                  <c:v>1.2627226948097814E-2</c:v>
                </c:pt>
                <c:pt idx="10">
                  <c:v>5.3701694560004398E-4</c:v>
                </c:pt>
                <c:pt idx="11">
                  <c:v>1.1388834529498126E-2</c:v>
                </c:pt>
                <c:pt idx="20">
                  <c:v>3.4860529995057732E-3</c:v>
                </c:pt>
                <c:pt idx="21">
                  <c:v>5.5860529973870143E-3</c:v>
                </c:pt>
                <c:pt idx="22">
                  <c:v>1.5003996501036454E-2</c:v>
                </c:pt>
                <c:pt idx="23">
                  <c:v>8.2358285071677528E-3</c:v>
                </c:pt>
                <c:pt idx="25">
                  <c:v>1.1005893007677514E-2</c:v>
                </c:pt>
                <c:pt idx="27">
                  <c:v>2.7787051505583804E-2</c:v>
                </c:pt>
                <c:pt idx="28">
                  <c:v>1.2807413004338741E-2</c:v>
                </c:pt>
                <c:pt idx="29">
                  <c:v>1.6921678005019203E-2</c:v>
                </c:pt>
                <c:pt idx="30">
                  <c:v>1.8870605999836698E-2</c:v>
                </c:pt>
                <c:pt idx="31">
                  <c:v>3.1430931507202331E-2</c:v>
                </c:pt>
                <c:pt idx="32">
                  <c:v>3.3268338505877182E-2</c:v>
                </c:pt>
                <c:pt idx="33">
                  <c:v>2.2420974004489835E-2</c:v>
                </c:pt>
                <c:pt idx="34">
                  <c:v>3.3348903001751751E-2</c:v>
                </c:pt>
                <c:pt idx="35">
                  <c:v>3.7670901503588539E-2</c:v>
                </c:pt>
                <c:pt idx="36">
                  <c:v>2.6993349005351774E-2</c:v>
                </c:pt>
                <c:pt idx="37">
                  <c:v>3.3581647003302351E-2</c:v>
                </c:pt>
                <c:pt idx="38">
                  <c:v>3.0226542003219947E-2</c:v>
                </c:pt>
                <c:pt idx="39">
                  <c:v>4.2958750505931675E-2</c:v>
                </c:pt>
                <c:pt idx="40">
                  <c:v>3.4283457003766671E-2</c:v>
                </c:pt>
                <c:pt idx="41">
                  <c:v>3.4445021003193688E-2</c:v>
                </c:pt>
                <c:pt idx="42">
                  <c:v>4.4975679003982805E-2</c:v>
                </c:pt>
                <c:pt idx="43">
                  <c:v>3.6796098946069833E-2</c:v>
                </c:pt>
                <c:pt idx="44">
                  <c:v>4.111854660732206E-2</c:v>
                </c:pt>
                <c:pt idx="45">
                  <c:v>4.4975679003982805E-2</c:v>
                </c:pt>
                <c:pt idx="46">
                  <c:v>4.0135447001375724E-2</c:v>
                </c:pt>
                <c:pt idx="47">
                  <c:v>4.5857981007429771E-2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8F-4AD4-A1B6-31FF40FA36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8F-4AD4-A1B6-31FF40FA36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8F-4AD4-A1B6-31FF40FA36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8F-4AD4-A1B6-31FF40FA3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3464"/>
        <c:axId val="1"/>
      </c:scatterChart>
      <c:valAx>
        <c:axId val="676643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709677419354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93548387096774"/>
          <c:y val="0.9204921861831491"/>
          <c:w val="0.4112903225806452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V376 And - Sec. O-C Diagr.</a:t>
            </a:r>
          </a:p>
        </c:rich>
      </c:tx>
      <c:layout>
        <c:manualLayout>
          <c:xMode val="edge"/>
          <c:yMode val="edge"/>
          <c:x val="0.2897961326262788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678942920199375"/>
          <c:w val="0.76734770343162406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1">
                  <c:v>6.6417685084161349E-3</c:v>
                </c:pt>
                <c:pt idx="2">
                  <c:v>7.7417685024556704E-3</c:v>
                </c:pt>
                <c:pt idx="3">
                  <c:v>7.941768504679203E-3</c:v>
                </c:pt>
                <c:pt idx="6">
                  <c:v>5.6045625024125911E-3</c:v>
                </c:pt>
                <c:pt idx="8">
                  <c:v>9.4509342743549496E-3</c:v>
                </c:pt>
                <c:pt idx="11">
                  <c:v>1.1388834529498126E-2</c:v>
                </c:pt>
                <c:pt idx="12">
                  <c:v>1.1644967504253145E-2</c:v>
                </c:pt>
                <c:pt idx="13">
                  <c:v>9.0286025006207637E-3</c:v>
                </c:pt>
                <c:pt idx="17">
                  <c:v>5.3343085019150749E-3</c:v>
                </c:pt>
                <c:pt idx="22">
                  <c:v>1.5003996501036454E-2</c:v>
                </c:pt>
                <c:pt idx="23">
                  <c:v>8.2358285071677528E-3</c:v>
                </c:pt>
                <c:pt idx="24">
                  <c:v>2.5767529499717057E-2</c:v>
                </c:pt>
                <c:pt idx="27">
                  <c:v>2.7787051505583804E-2</c:v>
                </c:pt>
                <c:pt idx="31">
                  <c:v>3.1430931507202331E-2</c:v>
                </c:pt>
                <c:pt idx="32">
                  <c:v>3.3268338505877182E-2</c:v>
                </c:pt>
                <c:pt idx="35">
                  <c:v>3.7670901503588539E-2</c:v>
                </c:pt>
                <c:pt idx="39">
                  <c:v>4.2958750505931675E-2</c:v>
                </c:pt>
                <c:pt idx="44">
                  <c:v>4.111854660732206E-2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9-4E1E-802C-BB95952873A1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-1.3612224632739119E-2</c:v>
                </c:pt>
                <c:pt idx="1">
                  <c:v>3.0816735606583184E-3</c:v>
                </c:pt>
                <c:pt idx="2">
                  <c:v>3.0816735606583184E-3</c:v>
                </c:pt>
                <c:pt idx="3">
                  <c:v>3.0816735606583184E-3</c:v>
                </c:pt>
                <c:pt idx="4">
                  <c:v>5.0507428845179871E-3</c:v>
                </c:pt>
                <c:pt idx="5">
                  <c:v>9.0996278384161584E-3</c:v>
                </c:pt>
                <c:pt idx="6">
                  <c:v>9.6644339999282115E-3</c:v>
                </c:pt>
                <c:pt idx="7">
                  <c:v>1.0818410510311662E-2</c:v>
                </c:pt>
                <c:pt idx="8">
                  <c:v>1.0851634402165312E-2</c:v>
                </c:pt>
                <c:pt idx="9">
                  <c:v>1.1106350906376631E-2</c:v>
                </c:pt>
                <c:pt idx="10">
                  <c:v>1.1150649428848164E-2</c:v>
                </c:pt>
                <c:pt idx="11">
                  <c:v>1.1294619626880649E-2</c:v>
                </c:pt>
                <c:pt idx="12">
                  <c:v>1.2743181311699797E-2</c:v>
                </c:pt>
                <c:pt idx="13">
                  <c:v>1.3031121707764767E-2</c:v>
                </c:pt>
                <c:pt idx="14">
                  <c:v>1.3037766486135496E-2</c:v>
                </c:pt>
                <c:pt idx="15">
                  <c:v>1.3042196338382649E-2</c:v>
                </c:pt>
                <c:pt idx="16">
                  <c:v>1.3086494860854184E-2</c:v>
                </c:pt>
                <c:pt idx="17">
                  <c:v>1.3093139639224913E-2</c:v>
                </c:pt>
                <c:pt idx="18">
                  <c:v>1.3263688950740317E-2</c:v>
                </c:pt>
                <c:pt idx="19">
                  <c:v>1.4978041770388667E-2</c:v>
                </c:pt>
                <c:pt idx="20">
                  <c:v>1.6838579714193079E-2</c:v>
                </c:pt>
                <c:pt idx="21">
                  <c:v>1.6838579714193079E-2</c:v>
                </c:pt>
                <c:pt idx="22">
                  <c:v>1.6955970798742642E-2</c:v>
                </c:pt>
                <c:pt idx="23">
                  <c:v>1.6991409616719869E-2</c:v>
                </c:pt>
                <c:pt idx="24">
                  <c:v>2.1062443831853808E-2</c:v>
                </c:pt>
                <c:pt idx="25">
                  <c:v>2.1091237871460305E-2</c:v>
                </c:pt>
                <c:pt idx="26">
                  <c:v>2.1184264768650526E-2</c:v>
                </c:pt>
                <c:pt idx="27">
                  <c:v>2.1585166397017904E-2</c:v>
                </c:pt>
                <c:pt idx="28">
                  <c:v>2.4989507848955261E-2</c:v>
                </c:pt>
                <c:pt idx="29">
                  <c:v>2.5144552677605632E-2</c:v>
                </c:pt>
                <c:pt idx="30">
                  <c:v>2.7058248848375883E-2</c:v>
                </c:pt>
                <c:pt idx="31">
                  <c:v>2.9204512262121687E-2</c:v>
                </c:pt>
                <c:pt idx="32">
                  <c:v>3.333756440871577E-2</c:v>
                </c:pt>
                <c:pt idx="33">
                  <c:v>3.4996544075274701E-2</c:v>
                </c:pt>
                <c:pt idx="34">
                  <c:v>3.5222466539879524E-2</c:v>
                </c:pt>
                <c:pt idx="35">
                  <c:v>3.5539200975550987E-2</c:v>
                </c:pt>
                <c:pt idx="36">
                  <c:v>3.5550275606168871E-2</c:v>
                </c:pt>
                <c:pt idx="37">
                  <c:v>3.7596867344353725E-2</c:v>
                </c:pt>
                <c:pt idx="38">
                  <c:v>3.7619016605589493E-2</c:v>
                </c:pt>
                <c:pt idx="39">
                  <c:v>3.789145251878942E-2</c:v>
                </c:pt>
                <c:pt idx="40">
                  <c:v>3.9324509720743535E-2</c:v>
                </c:pt>
                <c:pt idx="41">
                  <c:v>3.9838372581413324E-2</c:v>
                </c:pt>
                <c:pt idx="42">
                  <c:v>4.5606040207206995E-2</c:v>
                </c:pt>
                <c:pt idx="43">
                  <c:v>4.5517443162263929E-2</c:v>
                </c:pt>
                <c:pt idx="44">
                  <c:v>4.5528517792881813E-2</c:v>
                </c:pt>
                <c:pt idx="45">
                  <c:v>4.5606040207206995E-2</c:v>
                </c:pt>
                <c:pt idx="46">
                  <c:v>4.7342542288091115E-2</c:v>
                </c:pt>
                <c:pt idx="47">
                  <c:v>4.9761241615036853E-2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69-4E1E-802C-BB9595287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9224"/>
        <c:axId val="1"/>
      </c:scatterChart>
      <c:valAx>
        <c:axId val="676649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31040762761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9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79634688521075"/>
          <c:y val="0.9204921861831491"/>
          <c:w val="0.3306126734158230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V376 And - O-C Diagr.</a:t>
            </a:r>
          </a:p>
        </c:rich>
      </c:tx>
      <c:layout>
        <c:manualLayout>
          <c:xMode val="edge"/>
          <c:yMode val="edge"/>
          <c:x val="0.3853459972862958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7354138398914"/>
          <c:y val="0.1092436974789916"/>
          <c:w val="0.83582089552238803"/>
          <c:h val="0.73739495798319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1">
                    <c:v>1.4E-3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1.8000000000000001E-4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1.3999999999999999E-4</c:v>
                  </c:pt>
                  <c:pt idx="8">
                    <c:v>2.1000000000000001E-4</c:v>
                  </c:pt>
                  <c:pt idx="9">
                    <c:v>4.0999999999999999E-4</c:v>
                  </c:pt>
                  <c:pt idx="10">
                    <c:v>2.4000000000000001E-4</c:v>
                  </c:pt>
                  <c:pt idx="11">
                    <c:v>2.7999999999999998E-4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7.0000000000000001E-3</c:v>
                  </c:pt>
                  <c:pt idx="19">
                    <c:v>8.0000000000000002E-3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4.1000000000000003E-3</c:v>
                  </c:pt>
                  <c:pt idx="31">
                    <c:v>5.9999999999999995E-4</c:v>
                  </c:pt>
                  <c:pt idx="32">
                    <c:v>1.55E-2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2.0000000000000001E-4</c:v>
                  </c:pt>
                  <c:pt idx="38">
                    <c:v>8.0000000000000002E-3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5.0000000000000001E-4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5.0000000000000001E-4</c:v>
                  </c:pt>
                  <c:pt idx="46">
                    <c:v>1.2999999999999999E-3</c:v>
                  </c:pt>
                  <c:pt idx="47">
                    <c:v>4.0000000000000002E-4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1">
                    <c:v>1.4E-3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1.8000000000000001E-4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1.3999999999999999E-4</c:v>
                  </c:pt>
                  <c:pt idx="8">
                    <c:v>2.1000000000000001E-4</c:v>
                  </c:pt>
                  <c:pt idx="9">
                    <c:v>4.0999999999999999E-4</c:v>
                  </c:pt>
                  <c:pt idx="10">
                    <c:v>2.4000000000000001E-4</c:v>
                  </c:pt>
                  <c:pt idx="11">
                    <c:v>2.7999999999999998E-4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7.0000000000000001E-3</c:v>
                  </c:pt>
                  <c:pt idx="19">
                    <c:v>8.0000000000000002E-3</c:v>
                  </c:pt>
                  <c:pt idx="20">
                    <c:v>1E-4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4.1000000000000003E-3</c:v>
                  </c:pt>
                  <c:pt idx="31">
                    <c:v>5.9999999999999995E-4</c:v>
                  </c:pt>
                  <c:pt idx="32">
                    <c:v>1.55E-2</c:v>
                  </c:pt>
                  <c:pt idx="33">
                    <c:v>4.0000000000000002E-4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2.0000000000000001E-4</c:v>
                  </c:pt>
                  <c:pt idx="38">
                    <c:v>8.0000000000000002E-3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5.0000000000000001E-4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5.0000000000000001E-4</c:v>
                  </c:pt>
                  <c:pt idx="46">
                    <c:v>1.2999999999999999E-3</c:v>
                  </c:pt>
                  <c:pt idx="4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-4.1559300007065758E-4</c:v>
                </c:pt>
                <c:pt idx="4">
                  <c:v>-3.9070658895070665E-3</c:v>
                </c:pt>
                <c:pt idx="5">
                  <c:v>-1.4402599917957559E-3</c:v>
                </c:pt>
                <c:pt idx="7">
                  <c:v>7.273591952980496E-3</c:v>
                </c:pt>
                <c:pt idx="9">
                  <c:v>1.2627226948097814E-2</c:v>
                </c:pt>
                <c:pt idx="10">
                  <c:v>5.3701694560004398E-4</c:v>
                </c:pt>
                <c:pt idx="14">
                  <c:v>3.122071000689175E-3</c:v>
                </c:pt>
                <c:pt idx="15">
                  <c:v>-4.4894999155076221E-4</c:v>
                </c:pt>
                <c:pt idx="16">
                  <c:v>1.940840003953781E-3</c:v>
                </c:pt>
                <c:pt idx="18">
                  <c:v>0</c:v>
                </c:pt>
                <c:pt idx="19">
                  <c:v>4.5148730059736408E-3</c:v>
                </c:pt>
                <c:pt idx="20">
                  <c:v>3.4860529995057732E-3</c:v>
                </c:pt>
                <c:pt idx="21">
                  <c:v>5.5860529973870143E-3</c:v>
                </c:pt>
                <c:pt idx="25">
                  <c:v>1.1005893007677514E-2</c:v>
                </c:pt>
                <c:pt idx="26">
                  <c:v>8.0144520034082234E-3</c:v>
                </c:pt>
                <c:pt idx="28">
                  <c:v>1.2807413004338741E-2</c:v>
                </c:pt>
                <c:pt idx="29">
                  <c:v>1.6921678005019203E-2</c:v>
                </c:pt>
                <c:pt idx="30">
                  <c:v>1.8870605999836698E-2</c:v>
                </c:pt>
                <c:pt idx="33">
                  <c:v>2.2420974004489835E-2</c:v>
                </c:pt>
                <c:pt idx="34">
                  <c:v>3.3348903001751751E-2</c:v>
                </c:pt>
                <c:pt idx="36">
                  <c:v>2.6993349005351774E-2</c:v>
                </c:pt>
                <c:pt idx="37">
                  <c:v>3.3581647003302351E-2</c:v>
                </c:pt>
                <c:pt idx="38">
                  <c:v>3.0226542003219947E-2</c:v>
                </c:pt>
                <c:pt idx="40">
                  <c:v>3.4283457003766671E-2</c:v>
                </c:pt>
                <c:pt idx="41">
                  <c:v>3.4445021003193688E-2</c:v>
                </c:pt>
                <c:pt idx="42">
                  <c:v>4.4975679003982805E-2</c:v>
                </c:pt>
                <c:pt idx="43">
                  <c:v>3.6796098946069833E-2</c:v>
                </c:pt>
                <c:pt idx="45">
                  <c:v>4.4975679003982805E-2</c:v>
                </c:pt>
                <c:pt idx="46">
                  <c:v>4.0135447001375724E-2</c:v>
                </c:pt>
                <c:pt idx="47">
                  <c:v>4.5857981007429771E-2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1D-4CFC-916C-4C7D53A59E5F}"/>
            </c:ext>
          </c:extLst>
        </c:ser>
        <c:ser>
          <c:idx val="1"/>
          <c:order val="1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1">
                  <c:v>6.6417685084161349E-3</c:v>
                </c:pt>
                <c:pt idx="2">
                  <c:v>7.7417685024556704E-3</c:v>
                </c:pt>
                <c:pt idx="3">
                  <c:v>7.941768504679203E-3</c:v>
                </c:pt>
                <c:pt idx="6">
                  <c:v>5.6045625024125911E-3</c:v>
                </c:pt>
                <c:pt idx="8">
                  <c:v>9.4509342743549496E-3</c:v>
                </c:pt>
                <c:pt idx="11">
                  <c:v>1.1388834529498126E-2</c:v>
                </c:pt>
                <c:pt idx="12">
                  <c:v>1.1644967504253145E-2</c:v>
                </c:pt>
                <c:pt idx="13">
                  <c:v>9.0286025006207637E-3</c:v>
                </c:pt>
                <c:pt idx="17">
                  <c:v>5.3343085019150749E-3</c:v>
                </c:pt>
                <c:pt idx="22">
                  <c:v>1.5003996501036454E-2</c:v>
                </c:pt>
                <c:pt idx="23">
                  <c:v>8.2358285071677528E-3</c:v>
                </c:pt>
                <c:pt idx="24">
                  <c:v>2.5767529499717057E-2</c:v>
                </c:pt>
                <c:pt idx="27">
                  <c:v>2.7787051505583804E-2</c:v>
                </c:pt>
                <c:pt idx="31">
                  <c:v>3.1430931507202331E-2</c:v>
                </c:pt>
                <c:pt idx="32">
                  <c:v>3.3268338505877182E-2</c:v>
                </c:pt>
                <c:pt idx="35">
                  <c:v>3.7670901503588539E-2</c:v>
                </c:pt>
                <c:pt idx="39">
                  <c:v>4.2958750505931675E-2</c:v>
                </c:pt>
                <c:pt idx="44">
                  <c:v>4.111854660732206E-2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1D-4CFC-916C-4C7D53A59E5F}"/>
            </c:ext>
          </c:extLst>
        </c:ser>
        <c:ser>
          <c:idx val="5"/>
          <c:order val="2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1D-4CFC-916C-4C7D53A59E5F}"/>
            </c:ext>
          </c:extLst>
        </c:ser>
        <c:ser>
          <c:idx val="6"/>
          <c:order val="3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-6067</c:v>
                </c:pt>
                <c:pt idx="1">
                  <c:v>-2298.5</c:v>
                </c:pt>
                <c:pt idx="2">
                  <c:v>-2298.5</c:v>
                </c:pt>
                <c:pt idx="3">
                  <c:v>-2298.5</c:v>
                </c:pt>
                <c:pt idx="4">
                  <c:v>-1854</c:v>
                </c:pt>
                <c:pt idx="5">
                  <c:v>-940</c:v>
                </c:pt>
                <c:pt idx="6">
                  <c:v>-812.5</c:v>
                </c:pt>
                <c:pt idx="7">
                  <c:v>-552</c:v>
                </c:pt>
                <c:pt idx="8">
                  <c:v>-544.5</c:v>
                </c:pt>
                <c:pt idx="9">
                  <c:v>-487</c:v>
                </c:pt>
                <c:pt idx="10">
                  <c:v>-477</c:v>
                </c:pt>
                <c:pt idx="11">
                  <c:v>-444.5</c:v>
                </c:pt>
                <c:pt idx="12">
                  <c:v>-117.5</c:v>
                </c:pt>
                <c:pt idx="13">
                  <c:v>-52.5</c:v>
                </c:pt>
                <c:pt idx="14">
                  <c:v>-51</c:v>
                </c:pt>
                <c:pt idx="15">
                  <c:v>-50</c:v>
                </c:pt>
                <c:pt idx="16">
                  <c:v>-40</c:v>
                </c:pt>
                <c:pt idx="17">
                  <c:v>-38.5</c:v>
                </c:pt>
                <c:pt idx="18">
                  <c:v>0</c:v>
                </c:pt>
                <c:pt idx="19">
                  <c:v>387</c:v>
                </c:pt>
                <c:pt idx="20">
                  <c:v>807</c:v>
                </c:pt>
                <c:pt idx="21">
                  <c:v>807</c:v>
                </c:pt>
                <c:pt idx="22">
                  <c:v>833.5</c:v>
                </c:pt>
                <c:pt idx="23">
                  <c:v>841.5</c:v>
                </c:pt>
                <c:pt idx="24">
                  <c:v>1760.5</c:v>
                </c:pt>
                <c:pt idx="25">
                  <c:v>1767</c:v>
                </c:pt>
                <c:pt idx="26">
                  <c:v>1788</c:v>
                </c:pt>
                <c:pt idx="27">
                  <c:v>1878.5</c:v>
                </c:pt>
                <c:pt idx="28">
                  <c:v>2647</c:v>
                </c:pt>
                <c:pt idx="29">
                  <c:v>2682</c:v>
                </c:pt>
                <c:pt idx="30">
                  <c:v>3114</c:v>
                </c:pt>
                <c:pt idx="31">
                  <c:v>3598.5</c:v>
                </c:pt>
                <c:pt idx="32">
                  <c:v>4531.5</c:v>
                </c:pt>
                <c:pt idx="33">
                  <c:v>4906</c:v>
                </c:pt>
                <c:pt idx="34">
                  <c:v>4957</c:v>
                </c:pt>
                <c:pt idx="35">
                  <c:v>5028.5</c:v>
                </c:pt>
                <c:pt idx="36">
                  <c:v>5031</c:v>
                </c:pt>
                <c:pt idx="37">
                  <c:v>5493</c:v>
                </c:pt>
                <c:pt idx="38">
                  <c:v>5498</c:v>
                </c:pt>
                <c:pt idx="39">
                  <c:v>5559.5</c:v>
                </c:pt>
                <c:pt idx="40">
                  <c:v>5883</c:v>
                </c:pt>
                <c:pt idx="41">
                  <c:v>5999</c:v>
                </c:pt>
                <c:pt idx="42">
                  <c:v>7301</c:v>
                </c:pt>
                <c:pt idx="43">
                  <c:v>7281</c:v>
                </c:pt>
                <c:pt idx="44">
                  <c:v>7283.5</c:v>
                </c:pt>
                <c:pt idx="45">
                  <c:v>7301</c:v>
                </c:pt>
                <c:pt idx="46">
                  <c:v>7693</c:v>
                </c:pt>
                <c:pt idx="47">
                  <c:v>8239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1D-4CFC-916C-4C7D53A59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8864"/>
        <c:axId val="1"/>
      </c:scatterChart>
      <c:valAx>
        <c:axId val="676648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0176390773411"/>
              <c:y val="0.88025210084033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9823609226593E-2"/>
              <c:y val="0.413865546218487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8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564450474898238"/>
          <c:y val="0.94537815126050417"/>
          <c:w val="0.34599728629579368"/>
          <c:h val="4.20168067226890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8ABE7F7F-E12C-6D8E-3A25-A9A03591C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257175</xdr:colOff>
      <xdr:row>0</xdr:row>
      <xdr:rowOff>0</xdr:rowOff>
    </xdr:from>
    <xdr:to>
      <xdr:col>29</xdr:col>
      <xdr:colOff>676275</xdr:colOff>
      <xdr:row>18</xdr:row>
      <xdr:rowOff>47625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B94DCE35-F3BF-E0A3-8B47-3242E89D7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C32BBA82-0DB1-8D95-FEFC-4252BDD6D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657225</xdr:colOff>
      <xdr:row>19</xdr:row>
      <xdr:rowOff>123825</xdr:rowOff>
    </xdr:from>
    <xdr:to>
      <xdr:col>31</xdr:col>
      <xdr:colOff>133350</xdr:colOff>
      <xdr:row>47</xdr:row>
      <xdr:rowOff>104775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98675076-B154-D35D-6871-3890A547A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23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konkoly.hu/cgi-bin/IBVS?4855" TargetMode="External"/><Relationship Id="rId21" Type="http://schemas.openxmlformats.org/officeDocument/2006/relationships/hyperlink" Target="http://www.konkoly.hu/cgi-bin/IBVS?5980" TargetMode="External"/><Relationship Id="rId7" Type="http://schemas.openxmlformats.org/officeDocument/2006/relationships/hyperlink" Target="http://www.konkoly.hu/cgi-bin/IBVS?5606" TargetMode="External"/><Relationship Id="rId12" Type="http://schemas.openxmlformats.org/officeDocument/2006/relationships/hyperlink" Target="http://www.konkoly.hu/cgi-bin/IBVS?5649" TargetMode="External"/><Relationship Id="rId17" Type="http://schemas.openxmlformats.org/officeDocument/2006/relationships/hyperlink" Target="http://www.konkoly.hu/cgi-bin/IBVS?5898" TargetMode="External"/><Relationship Id="rId25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4855" TargetMode="External"/><Relationship Id="rId16" Type="http://schemas.openxmlformats.org/officeDocument/2006/relationships/hyperlink" Target="http://www.konkoly.hu/cgi-bin/IBVS?5736" TargetMode="External"/><Relationship Id="rId20" Type="http://schemas.openxmlformats.org/officeDocument/2006/relationships/hyperlink" Target="http://www.konkoly.hu/cgi-bin/IBVS?593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23" TargetMode="External"/><Relationship Id="rId11" Type="http://schemas.openxmlformats.org/officeDocument/2006/relationships/hyperlink" Target="http://www.konkoly.hu/cgi-bin/IBVS?5649" TargetMode="External"/><Relationship Id="rId24" Type="http://schemas.openxmlformats.org/officeDocument/2006/relationships/hyperlink" Target="http://www.konkoly.hu/cgi-bin/IBVS?6044" TargetMode="External"/><Relationship Id="rId5" Type="http://schemas.openxmlformats.org/officeDocument/2006/relationships/hyperlink" Target="http://www.konkoly.hu/cgi-bin/IBVS?5407" TargetMode="External"/><Relationship Id="rId15" Type="http://schemas.openxmlformats.org/officeDocument/2006/relationships/hyperlink" Target="http://www.konkoly.hu/cgi-bin/IBVS?5760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konkoly.hu/cgi-bin/IBVS?5898" TargetMode="External"/><Relationship Id="rId4" Type="http://schemas.openxmlformats.org/officeDocument/2006/relationships/hyperlink" Target="http://www.konkoly.hu/cgi-bin/IBVS?4855" TargetMode="External"/><Relationship Id="rId9" Type="http://schemas.openxmlformats.org/officeDocument/2006/relationships/hyperlink" Target="http://www.konkoly.hu/cgi-bin/IBVS?5623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konkoly.hu/cgi-bin/IBVS?59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3.85546875" customWidth="1"/>
    <col min="3" max="3" width="11.42578125" customWidth="1"/>
    <col min="4" max="4" width="8.28515625" customWidth="1"/>
    <col min="5" max="5" width="9.42578125" customWidth="1"/>
    <col min="6" max="6" width="16.5703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199</v>
      </c>
    </row>
    <row r="2" spans="1:6" x14ac:dyDescent="0.2">
      <c r="A2" t="s">
        <v>22</v>
      </c>
      <c r="B2" t="s">
        <v>48</v>
      </c>
    </row>
    <row r="3" spans="1:6" ht="13.5" thickBot="1" x14ac:dyDescent="0.25">
      <c r="B3" t="s">
        <v>49</v>
      </c>
      <c r="C3" s="9" t="s">
        <v>50</v>
      </c>
      <c r="D3" s="9" t="s">
        <v>51</v>
      </c>
    </row>
    <row r="4" spans="1:6" ht="13.5" thickBot="1" x14ac:dyDescent="0.25">
      <c r="A4" s="6" t="s">
        <v>6</v>
      </c>
      <c r="C4" s="27">
        <v>51510.540800000002</v>
      </c>
      <c r="D4" s="28">
        <v>0.79869000000000001</v>
      </c>
      <c r="E4" s="29" t="s">
        <v>52</v>
      </c>
    </row>
    <row r="5" spans="1:6" x14ac:dyDescent="0.2">
      <c r="A5" s="20" t="s">
        <v>33</v>
      </c>
      <c r="B5" s="14"/>
      <c r="C5" s="21">
        <v>-9.5</v>
      </c>
      <c r="D5" s="14" t="s">
        <v>34</v>
      </c>
    </row>
    <row r="6" spans="1:6" x14ac:dyDescent="0.2">
      <c r="A6" s="6" t="s">
        <v>7</v>
      </c>
    </row>
    <row r="7" spans="1:6" x14ac:dyDescent="0.2">
      <c r="A7" t="s">
        <v>8</v>
      </c>
      <c r="C7" s="32">
        <v>53346.279499999997</v>
      </c>
    </row>
    <row r="8" spans="1:6" x14ac:dyDescent="0.2">
      <c r="A8" t="s">
        <v>9</v>
      </c>
      <c r="C8">
        <v>0.79867102099999998</v>
      </c>
    </row>
    <row r="9" spans="1:6" x14ac:dyDescent="0.2">
      <c r="A9" s="12" t="s">
        <v>30</v>
      </c>
      <c r="B9" s="12"/>
      <c r="C9" s="13">
        <v>21</v>
      </c>
      <c r="D9" s="13">
        <v>21</v>
      </c>
    </row>
    <row r="10" spans="1:6" ht="13.5" thickBot="1" x14ac:dyDescent="0.25">
      <c r="A10" s="14"/>
      <c r="B10" s="14"/>
      <c r="C10" s="5" t="s">
        <v>23</v>
      </c>
      <c r="D10" s="5" t="s">
        <v>24</v>
      </c>
    </row>
    <row r="11" spans="1:6" x14ac:dyDescent="0.2">
      <c r="A11" s="14" t="s">
        <v>19</v>
      </c>
      <c r="B11" s="14"/>
      <c r="C11" s="15">
        <f ca="1">INTERCEPT(INDIRECT(C14):R$935,INDIRECT(C13):$F$935)</f>
        <v>6.0245039316772775E-3</v>
      </c>
      <c r="D11" s="15">
        <f ca="1">INTERCEPT(INDIRECT(D14):S$935,INDIRECT(D13):$F$935)</f>
        <v>1.3263688950740317E-2</v>
      </c>
      <c r="E11" s="12" t="s">
        <v>36</v>
      </c>
      <c r="F11">
        <v>1</v>
      </c>
    </row>
    <row r="12" spans="1:6" x14ac:dyDescent="0.2">
      <c r="A12" s="14" t="s">
        <v>20</v>
      </c>
      <c r="B12" s="14"/>
      <c r="C12" s="15">
        <f ca="1">SLOPE(INDIRECT(C14):R$935,INDIRECT(C13):$F$935)</f>
        <v>4.3990432824347988E-6</v>
      </c>
      <c r="D12" s="15">
        <f ca="1">SLOPE(INDIRECT(D14):S$935,INDIRECT(D13):$F$935)</f>
        <v>4.4298522471533602E-6</v>
      </c>
      <c r="E12" s="12" t="s">
        <v>37</v>
      </c>
      <c r="F12" s="22">
        <f ca="1">NOW()+15018.5+$C$5/24</f>
        <v>60163.522869328699</v>
      </c>
    </row>
    <row r="13" spans="1:6" x14ac:dyDescent="0.2">
      <c r="A13" s="12" t="s">
        <v>31</v>
      </c>
      <c r="B13" s="12"/>
      <c r="C13" s="13" t="str">
        <f>"F"&amp;C9</f>
        <v>F21</v>
      </c>
      <c r="D13" s="13" t="str">
        <f>"F"&amp;D9</f>
        <v>F21</v>
      </c>
      <c r="E13" s="12" t="s">
        <v>38</v>
      </c>
      <c r="F13" s="22">
        <f ca="1">ROUND(2*(F12-$C$7)/$C$8,0)/2+F11</f>
        <v>8536.5</v>
      </c>
    </row>
    <row r="14" spans="1:6" x14ac:dyDescent="0.2">
      <c r="A14" s="12" t="s">
        <v>32</v>
      </c>
      <c r="B14" s="12"/>
      <c r="C14" s="13" t="str">
        <f>"R"&amp;C9</f>
        <v>R21</v>
      </c>
      <c r="D14" s="13" t="str">
        <f>"S"&amp;D9</f>
        <v>S21</v>
      </c>
      <c r="E14" s="12" t="s">
        <v>39</v>
      </c>
      <c r="F14" s="23">
        <f ca="1">ROUND(2*(F12-$C$15)/$C$16,0)/2+F11</f>
        <v>297.5</v>
      </c>
    </row>
    <row r="15" spans="1:6" x14ac:dyDescent="0.2">
      <c r="A15" s="16" t="s">
        <v>21</v>
      </c>
      <c r="B15" s="14"/>
      <c r="C15" s="17">
        <f ca="1">($C7+C11)+($C8+C12)*INT(MAX($F21:$F3533))</f>
        <v>59926.572310240532</v>
      </c>
      <c r="D15" s="17">
        <f ca="1">($C7+D11)+($C8+D12)*INT(MAX($F21:$F3533))</f>
        <v>59926.579803260611</v>
      </c>
      <c r="E15" s="12" t="s">
        <v>40</v>
      </c>
      <c r="F15" s="24">
        <f ca="1">+$C$15+$C$16*F14-15018.5-$C$5/24</f>
        <v>45146.074081036742</v>
      </c>
    </row>
    <row r="16" spans="1:6" x14ac:dyDescent="0.2">
      <c r="A16" s="18" t="s">
        <v>10</v>
      </c>
      <c r="B16" s="14"/>
      <c r="C16" s="19">
        <f ca="1">+$C8+C12</f>
        <v>0.7986754200432824</v>
      </c>
      <c r="D16" s="15">
        <f ca="1">+$C8+D12</f>
        <v>0.79867545085224712</v>
      </c>
      <c r="E16" s="25"/>
      <c r="F16" s="25" t="s">
        <v>35</v>
      </c>
    </row>
    <row r="17" spans="1:19" ht="13.5" thickBot="1" x14ac:dyDescent="0.25">
      <c r="A17" s="11" t="s">
        <v>29</v>
      </c>
      <c r="C17">
        <f>COUNT(C21:C1247)</f>
        <v>48</v>
      </c>
    </row>
    <row r="18" spans="1:19" ht="14.25" thickTop="1" thickBot="1" x14ac:dyDescent="0.25">
      <c r="A18" s="6" t="s">
        <v>25</v>
      </c>
      <c r="C18" s="3">
        <f ca="1">+C15</f>
        <v>59926.572310240532</v>
      </c>
      <c r="D18" s="4">
        <f ca="1">+C16</f>
        <v>0.7986754200432824</v>
      </c>
      <c r="E18" s="26">
        <f>R19</f>
        <v>30</v>
      </c>
    </row>
    <row r="19" spans="1:19" ht="14.25" thickTop="1" thickBot="1" x14ac:dyDescent="0.25">
      <c r="A19" s="6" t="s">
        <v>26</v>
      </c>
      <c r="C19" s="3">
        <f ca="1">+D15</f>
        <v>59926.579803260611</v>
      </c>
      <c r="D19" s="4">
        <f ca="1">+D16</f>
        <v>0.79867545085224712</v>
      </c>
      <c r="E19" s="26">
        <f>S19</f>
        <v>18</v>
      </c>
      <c r="R19">
        <f>COUNT(R21:R322)</f>
        <v>30</v>
      </c>
      <c r="S19">
        <f>COUNT(S21:S322)</f>
        <v>18</v>
      </c>
    </row>
    <row r="20" spans="1:19" ht="14.25" thickTop="1" thickBot="1" x14ac:dyDescent="0.25">
      <c r="A20" s="5" t="s">
        <v>11</v>
      </c>
      <c r="B20" s="5" t="s">
        <v>12</v>
      </c>
      <c r="C20" s="5" t="s">
        <v>13</v>
      </c>
      <c r="D20" s="5" t="s">
        <v>17</v>
      </c>
      <c r="E20" s="5" t="s">
        <v>14</v>
      </c>
      <c r="F20" s="5" t="s">
        <v>15</v>
      </c>
      <c r="G20" s="5" t="s">
        <v>16</v>
      </c>
      <c r="H20" s="8" t="s">
        <v>41</v>
      </c>
      <c r="I20" s="8" t="s">
        <v>42</v>
      </c>
      <c r="J20" s="8" t="s">
        <v>43</v>
      </c>
      <c r="K20" s="8" t="s">
        <v>44</v>
      </c>
      <c r="L20" s="8" t="s">
        <v>45</v>
      </c>
      <c r="M20" s="8" t="s">
        <v>46</v>
      </c>
      <c r="N20" s="8" t="s">
        <v>47</v>
      </c>
      <c r="O20" s="8" t="s">
        <v>27</v>
      </c>
      <c r="P20" s="7" t="s">
        <v>28</v>
      </c>
      <c r="Q20" s="5" t="s">
        <v>18</v>
      </c>
      <c r="R20" s="7" t="s">
        <v>23</v>
      </c>
      <c r="S20" s="7" t="s">
        <v>24</v>
      </c>
    </row>
    <row r="21" spans="1:19" x14ac:dyDescent="0.2">
      <c r="A21" t="s">
        <v>53</v>
      </c>
      <c r="B21" s="9" t="s">
        <v>54</v>
      </c>
      <c r="C21" s="30">
        <v>48500.741999999998</v>
      </c>
      <c r="D21" s="10"/>
      <c r="E21" s="31">
        <f t="shared" ref="E21:E45" si="0">+(C21-C$7)/C$8</f>
        <v>-6067.0005203556757</v>
      </c>
      <c r="F21">
        <f t="shared" ref="F21:F45" si="1">ROUND(2*E21,0)/2</f>
        <v>-6067</v>
      </c>
      <c r="G21" s="32">
        <f t="shared" ref="G21:G45" si="2">+C21-(C$7+F21*C$8)</f>
        <v>-4.1559300007065758E-4</v>
      </c>
      <c r="H21" s="32">
        <f>G21</f>
        <v>-4.1559300007065758E-4</v>
      </c>
      <c r="I21" s="32"/>
      <c r="J21" s="32"/>
      <c r="K21" s="32"/>
      <c r="O21">
        <f ca="1">+C$11+C$12*$F21</f>
        <v>-2.0664491662854646E-2</v>
      </c>
      <c r="P21">
        <f ca="1">+D$11+D$12*$F21</f>
        <v>-1.3612224632739119E-2</v>
      </c>
      <c r="Q21" s="2">
        <f>+C21-15018.5</f>
        <v>33482.241999999998</v>
      </c>
      <c r="R21">
        <f>G21</f>
        <v>-4.1559300007065758E-4</v>
      </c>
    </row>
    <row r="22" spans="1:19" x14ac:dyDescent="0.2">
      <c r="A22" t="s">
        <v>50</v>
      </c>
      <c r="B22" s="9" t="s">
        <v>55</v>
      </c>
      <c r="C22" s="30">
        <v>51510.540800000002</v>
      </c>
      <c r="D22" s="10">
        <v>1.4E-3</v>
      </c>
      <c r="E22" s="31">
        <f t="shared" si="0"/>
        <v>-2298.4916839745893</v>
      </c>
      <c r="F22">
        <f t="shared" si="1"/>
        <v>-2298.5</v>
      </c>
      <c r="G22" s="32">
        <f t="shared" si="2"/>
        <v>6.6417685084161349E-3</v>
      </c>
      <c r="H22" s="32"/>
      <c r="I22" s="32"/>
      <c r="J22" s="32">
        <f>G22</f>
        <v>6.6417685084161349E-3</v>
      </c>
      <c r="K22" s="32"/>
      <c r="O22">
        <f t="shared" ref="O22:O45" ca="1" si="3">+C$11+C$12*$F22</f>
        <v>-4.0866970529991071E-3</v>
      </c>
      <c r="P22">
        <f t="shared" ref="P22:P45" ca="1" si="4">+D$11+D$12*$F22</f>
        <v>3.0816735606583184E-3</v>
      </c>
      <c r="Q22" s="2">
        <f t="shared" ref="Q22:Q45" si="5">+C22-15018.5</f>
        <v>36492.040800000002</v>
      </c>
      <c r="S22">
        <f>G22</f>
        <v>6.6417685084161349E-3</v>
      </c>
    </row>
    <row r="23" spans="1:19" x14ac:dyDescent="0.2">
      <c r="A23" t="s">
        <v>50</v>
      </c>
      <c r="B23" s="9" t="s">
        <v>55</v>
      </c>
      <c r="C23" s="30">
        <v>51510.541899999997</v>
      </c>
      <c r="D23" s="10">
        <v>1E-3</v>
      </c>
      <c r="E23" s="31">
        <f t="shared" si="0"/>
        <v>-2298.4903066866132</v>
      </c>
      <c r="F23">
        <f t="shared" si="1"/>
        <v>-2298.5</v>
      </c>
      <c r="G23" s="32">
        <f t="shared" si="2"/>
        <v>7.7417685024556704E-3</v>
      </c>
      <c r="H23" s="32"/>
      <c r="I23" s="32"/>
      <c r="J23" s="32">
        <f>G23</f>
        <v>7.7417685024556704E-3</v>
      </c>
      <c r="K23" s="32"/>
      <c r="O23">
        <f t="shared" ca="1" si="3"/>
        <v>-4.0866970529991071E-3</v>
      </c>
      <c r="P23">
        <f t="shared" ca="1" si="4"/>
        <v>3.0816735606583184E-3</v>
      </c>
      <c r="Q23" s="2">
        <f t="shared" si="5"/>
        <v>36492.041899999997</v>
      </c>
      <c r="S23">
        <f>G23</f>
        <v>7.7417685024556704E-3</v>
      </c>
    </row>
    <row r="24" spans="1:19" x14ac:dyDescent="0.2">
      <c r="A24" t="s">
        <v>50</v>
      </c>
      <c r="B24" s="9" t="s">
        <v>55</v>
      </c>
      <c r="C24" s="30">
        <v>51510.542099999999</v>
      </c>
      <c r="D24" s="10">
        <v>8.0000000000000004E-4</v>
      </c>
      <c r="E24" s="31">
        <f t="shared" si="0"/>
        <v>-2298.4900562706134</v>
      </c>
      <c r="F24">
        <f t="shared" si="1"/>
        <v>-2298.5</v>
      </c>
      <c r="G24" s="32">
        <f t="shared" si="2"/>
        <v>7.941768504679203E-3</v>
      </c>
      <c r="H24" s="32"/>
      <c r="I24" s="32"/>
      <c r="J24" s="32">
        <f>G24</f>
        <v>7.941768504679203E-3</v>
      </c>
      <c r="K24" s="32"/>
      <c r="O24">
        <f t="shared" ca="1" si="3"/>
        <v>-4.0866970529991071E-3</v>
      </c>
      <c r="P24">
        <f t="shared" ca="1" si="4"/>
        <v>3.0816735606583184E-3</v>
      </c>
      <c r="Q24" s="2">
        <f t="shared" si="5"/>
        <v>36492.042099999999</v>
      </c>
      <c r="S24">
        <f>G24</f>
        <v>7.941768504679203E-3</v>
      </c>
    </row>
    <row r="25" spans="1:19" x14ac:dyDescent="0.2">
      <c r="A25" t="s">
        <v>56</v>
      </c>
      <c r="B25" s="9" t="s">
        <v>54</v>
      </c>
      <c r="C25" s="30">
        <v>51865.539520000108</v>
      </c>
      <c r="D25" s="10">
        <v>1.8000000000000001E-4</v>
      </c>
      <c r="E25" s="31">
        <f t="shared" si="0"/>
        <v>-1854.0048919590001</v>
      </c>
      <c r="F25">
        <f t="shared" si="1"/>
        <v>-1854</v>
      </c>
      <c r="G25" s="32">
        <f t="shared" si="2"/>
        <v>-3.9070658895070665E-3</v>
      </c>
      <c r="H25" s="32"/>
      <c r="I25" s="32"/>
      <c r="J25" s="32"/>
      <c r="K25" s="32">
        <f>G25</f>
        <v>-3.9070658895070665E-3</v>
      </c>
      <c r="O25">
        <f t="shared" ca="1" si="3"/>
        <v>-2.1313223139568394E-3</v>
      </c>
      <c r="P25">
        <f t="shared" ca="1" si="4"/>
        <v>5.0507428845179871E-3</v>
      </c>
      <c r="Q25" s="2">
        <f t="shared" si="5"/>
        <v>36847.039520000108</v>
      </c>
      <c r="R25">
        <f>G25</f>
        <v>-3.9070658895070665E-3</v>
      </c>
    </row>
    <row r="26" spans="1:19" x14ac:dyDescent="0.2">
      <c r="A26" t="s">
        <v>57</v>
      </c>
      <c r="B26" s="9" t="s">
        <v>54</v>
      </c>
      <c r="C26" s="30">
        <v>52595.527300000002</v>
      </c>
      <c r="D26" s="10">
        <v>5.9999999999999995E-4</v>
      </c>
      <c r="E26" s="31">
        <f t="shared" si="0"/>
        <v>-940.00180332071341</v>
      </c>
      <c r="F26">
        <f t="shared" si="1"/>
        <v>-940</v>
      </c>
      <c r="G26" s="32">
        <f t="shared" si="2"/>
        <v>-1.4402599917957559E-3</v>
      </c>
      <c r="H26" s="32"/>
      <c r="I26" s="32"/>
      <c r="J26" s="32">
        <f>G26</f>
        <v>-1.4402599917957559E-3</v>
      </c>
      <c r="K26" s="32"/>
      <c r="O26">
        <f t="shared" ca="1" si="3"/>
        <v>1.8894032461885665E-3</v>
      </c>
      <c r="P26">
        <f t="shared" ca="1" si="4"/>
        <v>9.0996278384161584E-3</v>
      </c>
      <c r="Q26" s="2">
        <f t="shared" si="5"/>
        <v>37577.027300000002</v>
      </c>
      <c r="R26">
        <f>G26</f>
        <v>-1.4402599917957559E-3</v>
      </c>
    </row>
    <row r="27" spans="1:19" x14ac:dyDescent="0.2">
      <c r="A27" t="s">
        <v>58</v>
      </c>
      <c r="B27" s="9" t="s">
        <v>55</v>
      </c>
      <c r="C27" s="30">
        <v>52697.3649</v>
      </c>
      <c r="D27" s="10">
        <v>1E-4</v>
      </c>
      <c r="E27" s="31">
        <f t="shared" si="0"/>
        <v>-812.49298263946457</v>
      </c>
      <c r="F27">
        <f t="shared" si="1"/>
        <v>-812.5</v>
      </c>
      <c r="G27" s="32">
        <f t="shared" si="2"/>
        <v>5.6045625024125911E-3</v>
      </c>
      <c r="H27" s="32"/>
      <c r="I27" s="32"/>
      <c r="J27" s="32">
        <f>G27</f>
        <v>5.6045625024125911E-3</v>
      </c>
      <c r="K27" s="32"/>
      <c r="O27">
        <f t="shared" ca="1" si="3"/>
        <v>2.4502812646990035E-3</v>
      </c>
      <c r="P27">
        <f t="shared" ca="1" si="4"/>
        <v>9.6644339999282115E-3</v>
      </c>
      <c r="Q27" s="2">
        <f t="shared" si="5"/>
        <v>37678.8649</v>
      </c>
      <c r="S27">
        <f>G27</f>
        <v>5.6045625024125911E-3</v>
      </c>
    </row>
    <row r="28" spans="1:19" x14ac:dyDescent="0.2">
      <c r="A28" t="s">
        <v>56</v>
      </c>
      <c r="B28" s="9" t="s">
        <v>54</v>
      </c>
      <c r="C28" s="30">
        <v>52905.420369999949</v>
      </c>
      <c r="D28" s="10">
        <v>1.3999999999999999E-4</v>
      </c>
      <c r="E28" s="31">
        <f t="shared" si="0"/>
        <v>-551.99089288109781</v>
      </c>
      <c r="F28">
        <f t="shared" si="1"/>
        <v>-552</v>
      </c>
      <c r="G28" s="32">
        <f t="shared" si="2"/>
        <v>7.273591952980496E-3</v>
      </c>
      <c r="H28" s="32"/>
      <c r="I28" s="32"/>
      <c r="J28" s="32"/>
      <c r="K28" s="32">
        <f>G28</f>
        <v>7.273591952980496E-3</v>
      </c>
      <c r="O28">
        <f t="shared" ca="1" si="3"/>
        <v>3.5962320397732684E-3</v>
      </c>
      <c r="P28">
        <f t="shared" ca="1" si="4"/>
        <v>1.0818410510311662E-2</v>
      </c>
      <c r="Q28" s="2">
        <f t="shared" si="5"/>
        <v>37886.920369999949</v>
      </c>
      <c r="R28">
        <f>G28</f>
        <v>7.273591952980496E-3</v>
      </c>
    </row>
    <row r="29" spans="1:19" x14ac:dyDescent="0.2">
      <c r="A29" t="s">
        <v>56</v>
      </c>
      <c r="B29" s="9" t="s">
        <v>55</v>
      </c>
      <c r="C29" s="30">
        <v>52911.412579999771</v>
      </c>
      <c r="D29" s="10">
        <v>2.1000000000000001E-4</v>
      </c>
      <c r="E29" s="31">
        <f t="shared" si="0"/>
        <v>-544.48816667435585</v>
      </c>
      <c r="F29">
        <f t="shared" si="1"/>
        <v>-544.5</v>
      </c>
      <c r="G29" s="32">
        <f t="shared" si="2"/>
        <v>9.4509342743549496E-3</v>
      </c>
      <c r="H29" s="32"/>
      <c r="I29" s="32"/>
      <c r="J29" s="32"/>
      <c r="K29" s="32">
        <f>G29</f>
        <v>9.4509342743549496E-3</v>
      </c>
      <c r="O29">
        <f t="shared" ca="1" si="3"/>
        <v>3.6292248643915296E-3</v>
      </c>
      <c r="P29">
        <f t="shared" ca="1" si="4"/>
        <v>1.0851634402165312E-2</v>
      </c>
      <c r="Q29" s="2">
        <f t="shared" si="5"/>
        <v>37892.912579999771</v>
      </c>
      <c r="S29">
        <f>G29</f>
        <v>9.4509342743549496E-3</v>
      </c>
    </row>
    <row r="30" spans="1:19" x14ac:dyDescent="0.2">
      <c r="A30" t="s">
        <v>56</v>
      </c>
      <c r="B30" s="9" t="s">
        <v>54</v>
      </c>
      <c r="C30" s="30">
        <v>52957.339339999948</v>
      </c>
      <c r="D30" s="10">
        <v>4.0999999999999999E-4</v>
      </c>
      <c r="E30" s="31">
        <f t="shared" si="0"/>
        <v>-486.98418970186879</v>
      </c>
      <c r="F30">
        <f t="shared" si="1"/>
        <v>-487</v>
      </c>
      <c r="G30" s="32">
        <f t="shared" si="2"/>
        <v>1.2627226948097814E-2</v>
      </c>
      <c r="H30" s="32"/>
      <c r="I30" s="32"/>
      <c r="J30" s="32"/>
      <c r="K30" s="32">
        <f>G30</f>
        <v>1.2627226948097814E-2</v>
      </c>
      <c r="O30">
        <f t="shared" ca="1" si="3"/>
        <v>3.8821698531315307E-3</v>
      </c>
      <c r="P30">
        <f t="shared" ca="1" si="4"/>
        <v>1.1106350906376631E-2</v>
      </c>
      <c r="Q30" s="2">
        <f t="shared" si="5"/>
        <v>37938.839339999948</v>
      </c>
      <c r="R30">
        <f>G30</f>
        <v>1.2627226948097814E-2</v>
      </c>
    </row>
    <row r="31" spans="1:19" x14ac:dyDescent="0.2">
      <c r="A31" t="s">
        <v>56</v>
      </c>
      <c r="B31" s="9" t="s">
        <v>54</v>
      </c>
      <c r="C31" s="30">
        <v>52965.313959999941</v>
      </c>
      <c r="D31" s="10">
        <v>2.4000000000000001E-4</v>
      </c>
      <c r="E31" s="31">
        <f t="shared" si="0"/>
        <v>-476.99932761183237</v>
      </c>
      <c r="F31">
        <f t="shared" si="1"/>
        <v>-477</v>
      </c>
      <c r="G31" s="32">
        <f t="shared" si="2"/>
        <v>5.3701694560004398E-4</v>
      </c>
      <c r="H31" s="32"/>
      <c r="I31" s="32"/>
      <c r="J31" s="32"/>
      <c r="K31" s="32">
        <f>G31</f>
        <v>5.3701694560004398E-4</v>
      </c>
      <c r="O31">
        <f t="shared" ca="1" si="3"/>
        <v>3.9261602859558785E-3</v>
      </c>
      <c r="P31">
        <f t="shared" ca="1" si="4"/>
        <v>1.1150649428848164E-2</v>
      </c>
      <c r="Q31" s="2">
        <f t="shared" si="5"/>
        <v>37946.813959999941</v>
      </c>
      <c r="R31">
        <f>G31</f>
        <v>5.3701694560004398E-4</v>
      </c>
    </row>
    <row r="32" spans="1:19" x14ac:dyDescent="0.2">
      <c r="A32" t="s">
        <v>56</v>
      </c>
      <c r="B32" s="9" t="s">
        <v>55</v>
      </c>
      <c r="C32" s="30">
        <v>52991.281620000023</v>
      </c>
      <c r="D32" s="10">
        <v>2.7999999999999998E-4</v>
      </c>
      <c r="E32" s="31">
        <f t="shared" si="0"/>
        <v>-444.48574026823684</v>
      </c>
      <c r="F32">
        <f t="shared" si="1"/>
        <v>-444.5</v>
      </c>
      <c r="G32" s="32">
        <f t="shared" si="2"/>
        <v>1.1388834529498126E-2</v>
      </c>
      <c r="H32" s="32"/>
      <c r="I32" s="32"/>
      <c r="J32" s="32"/>
      <c r="K32" s="32">
        <f>G32</f>
        <v>1.1388834529498126E-2</v>
      </c>
      <c r="O32">
        <f t="shared" ca="1" si="3"/>
        <v>4.0691291926350098E-3</v>
      </c>
      <c r="P32">
        <f t="shared" ca="1" si="4"/>
        <v>1.1294619626880649E-2</v>
      </c>
      <c r="Q32" s="2">
        <f t="shared" si="5"/>
        <v>37972.781620000023</v>
      </c>
      <c r="S32">
        <f>G32</f>
        <v>1.1388834529498126E-2</v>
      </c>
    </row>
    <row r="33" spans="1:19" x14ac:dyDescent="0.2">
      <c r="A33" t="s">
        <v>59</v>
      </c>
      <c r="B33" s="9" t="s">
        <v>55</v>
      </c>
      <c r="C33" s="30">
        <v>53252.4473</v>
      </c>
      <c r="D33" s="10">
        <v>2.9999999999999997E-4</v>
      </c>
      <c r="E33" s="31">
        <f t="shared" si="0"/>
        <v>-117.48541956926356</v>
      </c>
      <c r="F33">
        <f t="shared" si="1"/>
        <v>-117.5</v>
      </c>
      <c r="G33" s="32">
        <f t="shared" si="2"/>
        <v>1.1644967504253145E-2</v>
      </c>
      <c r="H33" s="32"/>
      <c r="I33" s="32"/>
      <c r="J33" s="32">
        <f t="shared" ref="J33:J40" si="6">G33</f>
        <v>1.1644967504253145E-2</v>
      </c>
      <c r="K33" s="32"/>
      <c r="O33">
        <f t="shared" ca="1" si="3"/>
        <v>5.5076163459911887E-3</v>
      </c>
      <c r="P33">
        <f t="shared" ca="1" si="4"/>
        <v>1.2743181311699797E-2</v>
      </c>
      <c r="Q33" s="2">
        <f t="shared" si="5"/>
        <v>38233.9473</v>
      </c>
      <c r="S33">
        <f>G33</f>
        <v>1.1644967504253145E-2</v>
      </c>
    </row>
    <row r="34" spans="1:19" x14ac:dyDescent="0.2">
      <c r="A34" t="s">
        <v>58</v>
      </c>
      <c r="B34" s="9" t="s">
        <v>55</v>
      </c>
      <c r="C34" s="30">
        <v>53304.3583</v>
      </c>
      <c r="D34" s="10">
        <v>5.9999999999999995E-4</v>
      </c>
      <c r="E34" s="31">
        <f t="shared" si="0"/>
        <v>-52.488695467513459</v>
      </c>
      <c r="F34">
        <f t="shared" si="1"/>
        <v>-52.5</v>
      </c>
      <c r="G34" s="32">
        <f t="shared" si="2"/>
        <v>9.0286025006207637E-3</v>
      </c>
      <c r="H34" s="32"/>
      <c r="I34" s="32"/>
      <c r="J34" s="32">
        <f t="shared" si="6"/>
        <v>9.0286025006207637E-3</v>
      </c>
      <c r="K34" s="32"/>
      <c r="O34">
        <f t="shared" ca="1" si="3"/>
        <v>5.7935541593494505E-3</v>
      </c>
      <c r="P34">
        <f t="shared" ca="1" si="4"/>
        <v>1.3031121707764767E-2</v>
      </c>
      <c r="Q34" s="2">
        <f t="shared" si="5"/>
        <v>38285.8583</v>
      </c>
      <c r="S34">
        <f>G34</f>
        <v>9.0286025006207637E-3</v>
      </c>
    </row>
    <row r="35" spans="1:19" x14ac:dyDescent="0.2">
      <c r="A35" t="s">
        <v>58</v>
      </c>
      <c r="B35" s="9" t="s">
        <v>54</v>
      </c>
      <c r="C35" s="30">
        <v>53305.5504</v>
      </c>
      <c r="D35" s="10">
        <v>2.0000000000000001E-4</v>
      </c>
      <c r="E35" s="31">
        <f t="shared" si="0"/>
        <v>-50.99609091738516</v>
      </c>
      <c r="F35">
        <f t="shared" si="1"/>
        <v>-51</v>
      </c>
      <c r="G35" s="32">
        <f t="shared" si="2"/>
        <v>3.122071000689175E-3</v>
      </c>
      <c r="H35" s="32"/>
      <c r="I35" s="32"/>
      <c r="J35" s="32">
        <f t="shared" si="6"/>
        <v>3.122071000689175E-3</v>
      </c>
      <c r="K35" s="32"/>
      <c r="O35">
        <f t="shared" ca="1" si="3"/>
        <v>5.8001527242731027E-3</v>
      </c>
      <c r="P35">
        <f t="shared" ca="1" si="4"/>
        <v>1.3037766486135496E-2</v>
      </c>
      <c r="Q35" s="2">
        <f t="shared" si="5"/>
        <v>38287.0504</v>
      </c>
      <c r="R35">
        <f>G35</f>
        <v>3.122071000689175E-3</v>
      </c>
    </row>
    <row r="36" spans="1:19" x14ac:dyDescent="0.2">
      <c r="A36" t="s">
        <v>58</v>
      </c>
      <c r="B36" s="9" t="s">
        <v>54</v>
      </c>
      <c r="C36" s="30">
        <v>53306.345500000003</v>
      </c>
      <c r="D36" s="10">
        <v>2.0000000000000001E-4</v>
      </c>
      <c r="E36" s="31">
        <f t="shared" si="0"/>
        <v>-50.000562121301542</v>
      </c>
      <c r="F36">
        <f t="shared" si="1"/>
        <v>-50</v>
      </c>
      <c r="G36" s="32">
        <f t="shared" si="2"/>
        <v>-4.4894999155076221E-4</v>
      </c>
      <c r="H36" s="32"/>
      <c r="I36" s="32"/>
      <c r="J36" s="32">
        <f t="shared" si="6"/>
        <v>-4.4894999155076221E-4</v>
      </c>
      <c r="K36" s="32"/>
      <c r="O36">
        <f t="shared" ca="1" si="3"/>
        <v>5.8045517675555372E-3</v>
      </c>
      <c r="P36">
        <f t="shared" ca="1" si="4"/>
        <v>1.3042196338382649E-2</v>
      </c>
      <c r="Q36" s="2">
        <f t="shared" si="5"/>
        <v>38287.845500000003</v>
      </c>
      <c r="R36">
        <f>G36</f>
        <v>-4.4894999155076221E-4</v>
      </c>
    </row>
    <row r="37" spans="1:19" x14ac:dyDescent="0.2">
      <c r="A37" s="33" t="s">
        <v>60</v>
      </c>
      <c r="B37" s="34" t="s">
        <v>54</v>
      </c>
      <c r="C37" s="35">
        <v>53314.334600000002</v>
      </c>
      <c r="D37" s="36">
        <v>5.0000000000000001E-4</v>
      </c>
      <c r="E37" s="31">
        <f t="shared" si="0"/>
        <v>-39.997569913075587</v>
      </c>
      <c r="F37">
        <f t="shared" si="1"/>
        <v>-40</v>
      </c>
      <c r="G37" s="32">
        <f t="shared" si="2"/>
        <v>1.940840003953781E-3</v>
      </c>
      <c r="H37" s="32"/>
      <c r="I37" s="32"/>
      <c r="J37" s="32">
        <f t="shared" si="6"/>
        <v>1.940840003953781E-3</v>
      </c>
      <c r="K37" s="32"/>
      <c r="O37">
        <f t="shared" ca="1" si="3"/>
        <v>5.8485422003798854E-3</v>
      </c>
      <c r="P37">
        <f t="shared" ca="1" si="4"/>
        <v>1.3086494860854184E-2</v>
      </c>
      <c r="Q37" s="2">
        <f t="shared" si="5"/>
        <v>38295.834600000002</v>
      </c>
      <c r="R37">
        <f>G37</f>
        <v>1.940840003953781E-3</v>
      </c>
    </row>
    <row r="38" spans="1:19" x14ac:dyDescent="0.2">
      <c r="A38" s="33" t="s">
        <v>60</v>
      </c>
      <c r="B38" s="34" t="s">
        <v>55</v>
      </c>
      <c r="C38" s="35">
        <v>53315.536</v>
      </c>
      <c r="D38" s="36">
        <v>5.9999999999999995E-4</v>
      </c>
      <c r="E38" s="31">
        <f t="shared" si="0"/>
        <v>-38.493321019089358</v>
      </c>
      <c r="F38">
        <f t="shared" si="1"/>
        <v>-38.5</v>
      </c>
      <c r="G38" s="32">
        <f t="shared" si="2"/>
        <v>5.3343085019150749E-3</v>
      </c>
      <c r="H38" s="32"/>
      <c r="I38" s="32"/>
      <c r="J38" s="32">
        <f t="shared" si="6"/>
        <v>5.3343085019150749E-3</v>
      </c>
      <c r="K38" s="32"/>
      <c r="O38">
        <f t="shared" ca="1" si="3"/>
        <v>5.8551407653035376E-3</v>
      </c>
      <c r="P38">
        <f t="shared" ca="1" si="4"/>
        <v>1.3093139639224913E-2</v>
      </c>
      <c r="Q38" s="2">
        <f t="shared" si="5"/>
        <v>38297.036</v>
      </c>
      <c r="S38">
        <f>G38</f>
        <v>5.3343085019150749E-3</v>
      </c>
    </row>
    <row r="39" spans="1:19" x14ac:dyDescent="0.2">
      <c r="A39" s="33" t="s">
        <v>61</v>
      </c>
      <c r="B39" s="34" t="s">
        <v>54</v>
      </c>
      <c r="C39" s="35">
        <v>53346.279499999997</v>
      </c>
      <c r="D39" s="36">
        <v>7.0000000000000001E-3</v>
      </c>
      <c r="E39" s="31">
        <f t="shared" si="0"/>
        <v>0</v>
      </c>
      <c r="F39">
        <f t="shared" si="1"/>
        <v>0</v>
      </c>
      <c r="G39" s="32">
        <f t="shared" si="2"/>
        <v>0</v>
      </c>
      <c r="H39" s="32"/>
      <c r="I39" s="32"/>
      <c r="J39" s="32">
        <f t="shared" si="6"/>
        <v>0</v>
      </c>
      <c r="K39" s="32"/>
      <c r="O39">
        <f t="shared" ca="1" si="3"/>
        <v>6.0245039316772775E-3</v>
      </c>
      <c r="P39">
        <f t="shared" ca="1" si="4"/>
        <v>1.3263688950740317E-2</v>
      </c>
      <c r="Q39" s="2">
        <f t="shared" si="5"/>
        <v>38327.779499999997</v>
      </c>
      <c r="R39">
        <f>G39</f>
        <v>0</v>
      </c>
    </row>
    <row r="40" spans="1:19" x14ac:dyDescent="0.2">
      <c r="A40" s="37" t="s">
        <v>62</v>
      </c>
      <c r="B40" s="38"/>
      <c r="C40" s="36">
        <v>53655.369700000003</v>
      </c>
      <c r="D40" s="36">
        <v>8.0000000000000002E-3</v>
      </c>
      <c r="E40" s="31">
        <f t="shared" si="0"/>
        <v>387.0056529821257</v>
      </c>
      <c r="F40">
        <f t="shared" si="1"/>
        <v>387</v>
      </c>
      <c r="G40" s="32">
        <f t="shared" si="2"/>
        <v>4.5148730059736408E-3</v>
      </c>
      <c r="H40" s="32"/>
      <c r="I40" s="32"/>
      <c r="J40" s="32">
        <f t="shared" si="6"/>
        <v>4.5148730059736408E-3</v>
      </c>
      <c r="K40" s="32"/>
      <c r="O40">
        <f t="shared" ca="1" si="3"/>
        <v>7.7269336819795441E-3</v>
      </c>
      <c r="P40">
        <f t="shared" ca="1" si="4"/>
        <v>1.4978041770388667E-2</v>
      </c>
      <c r="Q40" s="2">
        <f t="shared" si="5"/>
        <v>38636.869700000003</v>
      </c>
      <c r="R40">
        <f>G40</f>
        <v>4.5148730059736408E-3</v>
      </c>
    </row>
    <row r="41" spans="1:19" x14ac:dyDescent="0.2">
      <c r="A41" s="33" t="s">
        <v>63</v>
      </c>
      <c r="B41" s="34" t="s">
        <v>54</v>
      </c>
      <c r="C41" s="35">
        <v>53990.8105</v>
      </c>
      <c r="D41" s="36">
        <v>1E-4</v>
      </c>
      <c r="E41" s="31">
        <f t="shared" si="0"/>
        <v>807.00436481719134</v>
      </c>
      <c r="F41">
        <f t="shared" si="1"/>
        <v>807</v>
      </c>
      <c r="G41" s="32">
        <f t="shared" si="2"/>
        <v>3.4860529995057732E-3</v>
      </c>
      <c r="H41" s="32"/>
      <c r="I41" s="32"/>
      <c r="J41" s="32"/>
      <c r="K41" s="32">
        <f>G41</f>
        <v>3.4860529995057732E-3</v>
      </c>
      <c r="O41">
        <f t="shared" ca="1" si="3"/>
        <v>9.5745318606021597E-3</v>
      </c>
      <c r="P41">
        <f t="shared" ca="1" si="4"/>
        <v>1.6838579714193079E-2</v>
      </c>
      <c r="Q41" s="2">
        <f t="shared" si="5"/>
        <v>38972.3105</v>
      </c>
      <c r="R41">
        <f>G41</f>
        <v>3.4860529995057732E-3</v>
      </c>
    </row>
    <row r="42" spans="1:19" x14ac:dyDescent="0.2">
      <c r="A42" s="39" t="s">
        <v>64</v>
      </c>
      <c r="B42" s="40" t="s">
        <v>54</v>
      </c>
      <c r="C42" s="41">
        <v>53990.812599999997</v>
      </c>
      <c r="D42" s="41">
        <v>4.0000000000000002E-4</v>
      </c>
      <c r="E42" s="31">
        <f t="shared" si="0"/>
        <v>807.00699418515717</v>
      </c>
      <c r="F42">
        <f t="shared" si="1"/>
        <v>807</v>
      </c>
      <c r="G42" s="32">
        <f t="shared" si="2"/>
        <v>5.5860529973870143E-3</v>
      </c>
      <c r="H42" s="32"/>
      <c r="I42" s="32"/>
      <c r="J42" s="32"/>
      <c r="K42" s="32">
        <f>G42</f>
        <v>5.5860529973870143E-3</v>
      </c>
      <c r="O42">
        <f t="shared" ca="1" si="3"/>
        <v>9.5745318606021597E-3</v>
      </c>
      <c r="P42">
        <f t="shared" ca="1" si="4"/>
        <v>1.6838579714193079E-2</v>
      </c>
      <c r="Q42" s="2">
        <f t="shared" si="5"/>
        <v>38972.312599999997</v>
      </c>
      <c r="R42">
        <f>G42</f>
        <v>5.5860529973870143E-3</v>
      </c>
    </row>
    <row r="43" spans="1:19" x14ac:dyDescent="0.2">
      <c r="A43" s="42" t="s">
        <v>65</v>
      </c>
      <c r="B43" s="34"/>
      <c r="C43" s="35">
        <v>54011.986799999999</v>
      </c>
      <c r="D43" s="36">
        <v>5.0000000000000001E-4</v>
      </c>
      <c r="E43" s="31">
        <f t="shared" si="0"/>
        <v>833.51878620371508</v>
      </c>
      <c r="F43">
        <f t="shared" si="1"/>
        <v>833.5</v>
      </c>
      <c r="G43" s="32">
        <f t="shared" si="2"/>
        <v>1.5003996501036454E-2</v>
      </c>
      <c r="H43" s="32"/>
      <c r="I43" s="32"/>
      <c r="J43" s="32"/>
      <c r="K43" s="32">
        <f>G43</f>
        <v>1.5003996501036454E-2</v>
      </c>
      <c r="O43">
        <f t="shared" ca="1" si="3"/>
        <v>9.6911065075866824E-3</v>
      </c>
      <c r="P43">
        <f t="shared" ca="1" si="4"/>
        <v>1.6955970798742642E-2</v>
      </c>
      <c r="Q43" s="2">
        <f t="shared" si="5"/>
        <v>38993.486799999999</v>
      </c>
      <c r="S43">
        <f>G43</f>
        <v>1.5003996501036454E-2</v>
      </c>
    </row>
    <row r="44" spans="1:19" x14ac:dyDescent="0.2">
      <c r="A44" s="37" t="s">
        <v>66</v>
      </c>
      <c r="B44" s="43" t="s">
        <v>54</v>
      </c>
      <c r="C44" s="44">
        <v>54018.369400000003</v>
      </c>
      <c r="D44" s="36">
        <v>1E-4</v>
      </c>
      <c r="E44" s="31">
        <f t="shared" si="0"/>
        <v>841.51031191603272</v>
      </c>
      <c r="F44">
        <f t="shared" si="1"/>
        <v>841.5</v>
      </c>
      <c r="G44" s="32">
        <f t="shared" si="2"/>
        <v>8.2358285071677528E-3</v>
      </c>
      <c r="H44" s="32"/>
      <c r="I44" s="32"/>
      <c r="J44" s="32"/>
      <c r="K44" s="32">
        <f>G44</f>
        <v>8.2358285071677528E-3</v>
      </c>
      <c r="O44">
        <f t="shared" ca="1" si="3"/>
        <v>9.7262988538461617E-3</v>
      </c>
      <c r="P44">
        <f t="shared" ca="1" si="4"/>
        <v>1.6991409616719869E-2</v>
      </c>
      <c r="Q44" s="2">
        <f t="shared" si="5"/>
        <v>38999.869400000003</v>
      </c>
      <c r="S44">
        <f>G44</f>
        <v>8.2358285071677528E-3</v>
      </c>
    </row>
    <row r="45" spans="1:19" x14ac:dyDescent="0.2">
      <c r="A45" s="44" t="s">
        <v>67</v>
      </c>
      <c r="B45" s="43" t="s">
        <v>55</v>
      </c>
      <c r="C45" s="44">
        <v>54752.365599999997</v>
      </c>
      <c r="D45" s="44">
        <v>2.0000000000000001E-4</v>
      </c>
      <c r="E45" s="31">
        <f t="shared" si="0"/>
        <v>1760.5322630079506</v>
      </c>
      <c r="F45">
        <f t="shared" si="1"/>
        <v>1760.5</v>
      </c>
      <c r="G45" s="32">
        <f t="shared" si="2"/>
        <v>2.5767529499717057E-2</v>
      </c>
      <c r="H45" s="32"/>
      <c r="I45" s="32"/>
      <c r="J45" s="32">
        <f>G45</f>
        <v>2.5767529499717057E-2</v>
      </c>
      <c r="K45" s="32"/>
      <c r="O45">
        <f t="shared" ca="1" si="3"/>
        <v>1.376901963040374E-2</v>
      </c>
      <c r="P45">
        <f t="shared" ca="1" si="4"/>
        <v>2.1062443831853808E-2</v>
      </c>
      <c r="Q45" s="2">
        <f t="shared" si="5"/>
        <v>39733.865599999997</v>
      </c>
      <c r="S45">
        <f>G45</f>
        <v>2.5767529499717057E-2</v>
      </c>
    </row>
    <row r="46" spans="1:19" x14ac:dyDescent="0.2">
      <c r="A46" s="23" t="s">
        <v>68</v>
      </c>
      <c r="B46" s="9" t="s">
        <v>54</v>
      </c>
      <c r="C46" s="30">
        <v>54757.542200000004</v>
      </c>
      <c r="D46" t="s">
        <v>42</v>
      </c>
      <c r="E46" s="31">
        <f t="shared" ref="E46:E59" si="7">+(C46-C$7)/C$8</f>
        <v>1767.0137802583508</v>
      </c>
      <c r="F46">
        <f t="shared" ref="F46:F62" si="8">ROUND(2*E46,0)/2</f>
        <v>1767</v>
      </c>
      <c r="G46" s="32">
        <f t="shared" ref="G46:G59" si="9">+C46-(C$7+F46*C$8)</f>
        <v>1.1005893007677514E-2</v>
      </c>
      <c r="H46" s="32"/>
      <c r="I46" s="32"/>
      <c r="J46" s="32"/>
      <c r="K46" s="32">
        <f>G46</f>
        <v>1.1005893007677514E-2</v>
      </c>
      <c r="O46">
        <f t="shared" ref="O46:O59" ca="1" si="10">+C$11+C$12*$F46</f>
        <v>1.3797613411739566E-2</v>
      </c>
      <c r="P46">
        <f t="shared" ref="P46:P59" ca="1" si="11">+D$11+D$12*$F46</f>
        <v>2.1091237871460305E-2</v>
      </c>
      <c r="Q46" s="2">
        <f t="shared" ref="Q46:Q59" si="12">+C46-15018.5</f>
        <v>39739.042200000004</v>
      </c>
      <c r="R46">
        <f>G46</f>
        <v>1.1005893007677514E-2</v>
      </c>
    </row>
    <row r="47" spans="1:19" x14ac:dyDescent="0.2">
      <c r="A47" s="44" t="s">
        <v>67</v>
      </c>
      <c r="B47" s="43" t="s">
        <v>54</v>
      </c>
      <c r="C47" s="44">
        <v>54774.311300000001</v>
      </c>
      <c r="D47" s="44">
        <v>2.0000000000000001E-4</v>
      </c>
      <c r="E47" s="31">
        <f t="shared" si="7"/>
        <v>1788.0100347349455</v>
      </c>
      <c r="F47">
        <f t="shared" si="8"/>
        <v>1788</v>
      </c>
      <c r="G47" s="32">
        <f t="shared" si="9"/>
        <v>8.0144520034082234E-3</v>
      </c>
      <c r="H47" s="32"/>
      <c r="I47" s="32"/>
      <c r="J47" s="32">
        <f>G47</f>
        <v>8.0144520034082234E-3</v>
      </c>
      <c r="K47" s="32"/>
      <c r="O47">
        <f t="shared" ca="1" si="10"/>
        <v>1.3889993320670698E-2</v>
      </c>
      <c r="P47">
        <f t="shared" ca="1" si="11"/>
        <v>2.1184264768650526E-2</v>
      </c>
      <c r="Q47" s="2">
        <f t="shared" si="12"/>
        <v>39755.811300000001</v>
      </c>
      <c r="R47">
        <f>G47</f>
        <v>8.0144520034082234E-3</v>
      </c>
    </row>
    <row r="48" spans="1:19" x14ac:dyDescent="0.2">
      <c r="A48" s="45" t="s">
        <v>69</v>
      </c>
      <c r="B48" s="46" t="s">
        <v>55</v>
      </c>
      <c r="C48" s="45">
        <v>54846.610800000002</v>
      </c>
      <c r="D48" s="45">
        <v>1E-4</v>
      </c>
      <c r="E48" s="31">
        <f t="shared" si="7"/>
        <v>1878.5347916110322</v>
      </c>
      <c r="F48">
        <f t="shared" si="8"/>
        <v>1878.5</v>
      </c>
      <c r="G48" s="32">
        <f t="shared" si="9"/>
        <v>2.7787051505583804E-2</v>
      </c>
      <c r="H48" s="32"/>
      <c r="I48" s="32"/>
      <c r="J48" s="32"/>
      <c r="K48" s="32">
        <f t="shared" ref="K48:K68" si="13">G48</f>
        <v>2.7787051505583804E-2</v>
      </c>
      <c r="O48">
        <f t="shared" ca="1" si="10"/>
        <v>1.4288106737731046E-2</v>
      </c>
      <c r="P48">
        <f t="shared" ca="1" si="11"/>
        <v>2.1585166397017904E-2</v>
      </c>
      <c r="Q48" s="2">
        <f t="shared" si="12"/>
        <v>39828.110800000002</v>
      </c>
      <c r="S48">
        <f>G48</f>
        <v>2.7787051505583804E-2</v>
      </c>
    </row>
    <row r="49" spans="1:19" x14ac:dyDescent="0.2">
      <c r="A49" s="38" t="s">
        <v>70</v>
      </c>
      <c r="B49" s="43" t="s">
        <v>54</v>
      </c>
      <c r="C49" s="44">
        <v>55460.374499999998</v>
      </c>
      <c r="D49" s="44">
        <v>5.0000000000000001E-4</v>
      </c>
      <c r="E49" s="31">
        <f t="shared" si="7"/>
        <v>2647.0160359054785</v>
      </c>
      <c r="F49">
        <f t="shared" si="8"/>
        <v>2647</v>
      </c>
      <c r="G49" s="32">
        <f t="shared" si="9"/>
        <v>1.2807413004338741E-2</v>
      </c>
      <c r="H49" s="32"/>
      <c r="I49" s="32"/>
      <c r="J49" s="32"/>
      <c r="K49" s="32">
        <f t="shared" si="13"/>
        <v>1.2807413004338741E-2</v>
      </c>
      <c r="O49">
        <f t="shared" ca="1" si="10"/>
        <v>1.766877150028219E-2</v>
      </c>
      <c r="P49">
        <f t="shared" ca="1" si="11"/>
        <v>2.4989507848955261E-2</v>
      </c>
      <c r="Q49" s="2">
        <f t="shared" si="12"/>
        <v>40441.874499999998</v>
      </c>
      <c r="R49">
        <f>G49</f>
        <v>1.2807413004338741E-2</v>
      </c>
    </row>
    <row r="50" spans="1:19" x14ac:dyDescent="0.2">
      <c r="A50" s="38" t="s">
        <v>70</v>
      </c>
      <c r="B50" s="43" t="s">
        <v>54</v>
      </c>
      <c r="C50" s="44">
        <v>55488.3321</v>
      </c>
      <c r="D50" s="44">
        <v>4.0000000000000002E-4</v>
      </c>
      <c r="E50" s="31">
        <f t="shared" si="7"/>
        <v>2682.0211872943401</v>
      </c>
      <c r="F50">
        <f t="shared" si="8"/>
        <v>2682</v>
      </c>
      <c r="G50" s="32">
        <f t="shared" si="9"/>
        <v>1.6921678005019203E-2</v>
      </c>
      <c r="H50" s="32"/>
      <c r="I50" s="32"/>
      <c r="J50" s="32"/>
      <c r="K50" s="32">
        <f t="shared" si="13"/>
        <v>1.6921678005019203E-2</v>
      </c>
      <c r="O50">
        <f t="shared" ca="1" si="10"/>
        <v>1.7822738015167407E-2</v>
      </c>
      <c r="P50">
        <f t="shared" ca="1" si="11"/>
        <v>2.5144552677605632E-2</v>
      </c>
      <c r="Q50" s="2">
        <f t="shared" si="12"/>
        <v>40469.8321</v>
      </c>
      <c r="R50">
        <f>G50</f>
        <v>1.6921678005019203E-2</v>
      </c>
    </row>
    <row r="51" spans="1:19" s="33" customFormat="1" x14ac:dyDescent="0.2">
      <c r="A51" s="37" t="s">
        <v>71</v>
      </c>
      <c r="B51" s="34" t="s">
        <v>54</v>
      </c>
      <c r="C51" s="36">
        <v>55833.359929999999</v>
      </c>
      <c r="D51" s="36">
        <v>4.1000000000000003E-3</v>
      </c>
      <c r="E51" s="62">
        <f t="shared" si="7"/>
        <v>3114.0236275080797</v>
      </c>
      <c r="F51" s="33">
        <f t="shared" si="8"/>
        <v>3114</v>
      </c>
      <c r="G51" s="63">
        <f t="shared" si="9"/>
        <v>1.8870605999836698E-2</v>
      </c>
      <c r="H51" s="63"/>
      <c r="I51" s="63"/>
      <c r="J51" s="63"/>
      <c r="K51" s="63">
        <f t="shared" si="13"/>
        <v>1.8870605999836698E-2</v>
      </c>
      <c r="O51" s="33">
        <f t="shared" ca="1" si="10"/>
        <v>1.9723124713179239E-2</v>
      </c>
      <c r="P51" s="33">
        <f t="shared" ca="1" si="11"/>
        <v>2.7058248848375883E-2</v>
      </c>
      <c r="Q51" s="64">
        <f t="shared" si="12"/>
        <v>40814.859929999999</v>
      </c>
      <c r="R51" s="33">
        <f>G51</f>
        <v>1.8870605999836698E-2</v>
      </c>
    </row>
    <row r="52" spans="1:19" s="33" customFormat="1" x14ac:dyDescent="0.2">
      <c r="A52" s="37" t="s">
        <v>72</v>
      </c>
      <c r="B52" s="43" t="s">
        <v>55</v>
      </c>
      <c r="C52" s="44">
        <v>56220.328600000001</v>
      </c>
      <c r="D52" s="44">
        <v>5.9999999999999995E-4</v>
      </c>
      <c r="E52" s="62">
        <f t="shared" si="7"/>
        <v>3598.5393540402461</v>
      </c>
      <c r="F52" s="33">
        <f t="shared" si="8"/>
        <v>3598.5</v>
      </c>
      <c r="G52" s="63">
        <f t="shared" si="9"/>
        <v>3.1430931507202331E-2</v>
      </c>
      <c r="H52" s="63"/>
      <c r="I52" s="63"/>
      <c r="J52" s="63"/>
      <c r="K52" s="63">
        <f t="shared" si="13"/>
        <v>3.1430931507202331E-2</v>
      </c>
      <c r="O52" s="33">
        <f t="shared" ca="1" si="10"/>
        <v>2.18544611835189E-2</v>
      </c>
      <c r="P52" s="33">
        <f t="shared" ca="1" si="11"/>
        <v>2.9204512262121687E-2</v>
      </c>
      <c r="Q52" s="64">
        <f t="shared" si="12"/>
        <v>41201.828600000001</v>
      </c>
      <c r="S52" s="33">
        <f>G52</f>
        <v>3.1430931507202331E-2</v>
      </c>
    </row>
    <row r="53" spans="1:19" s="33" customFormat="1" x14ac:dyDescent="0.2">
      <c r="A53" s="44" t="s">
        <v>73</v>
      </c>
      <c r="B53" s="34"/>
      <c r="C53" s="44">
        <v>56965.4905</v>
      </c>
      <c r="D53" s="44">
        <v>1.55E-2</v>
      </c>
      <c r="E53" s="62">
        <f t="shared" si="7"/>
        <v>4531.5416546207744</v>
      </c>
      <c r="F53" s="33">
        <f t="shared" si="8"/>
        <v>4531.5</v>
      </c>
      <c r="G53" s="63">
        <f t="shared" si="9"/>
        <v>3.3268338505877182E-2</v>
      </c>
      <c r="H53" s="63"/>
      <c r="I53" s="63"/>
      <c r="K53" s="63">
        <f t="shared" si="13"/>
        <v>3.3268338505877182E-2</v>
      </c>
      <c r="O53" s="33">
        <f t="shared" ca="1" si="10"/>
        <v>2.595876856603057E-2</v>
      </c>
      <c r="P53" s="33">
        <f t="shared" ca="1" si="11"/>
        <v>3.333756440871577E-2</v>
      </c>
      <c r="Q53" s="64">
        <f t="shared" si="12"/>
        <v>41946.9905</v>
      </c>
      <c r="S53" s="33">
        <f>G53</f>
        <v>3.3268338505877182E-2</v>
      </c>
    </row>
    <row r="54" spans="1:19" s="33" customFormat="1" x14ac:dyDescent="0.2">
      <c r="A54" s="65" t="s">
        <v>194</v>
      </c>
      <c r="B54" s="66" t="s">
        <v>54</v>
      </c>
      <c r="C54" s="67">
        <v>57264.58195</v>
      </c>
      <c r="D54" s="67">
        <v>4.0000000000000002E-4</v>
      </c>
      <c r="E54" s="62">
        <f t="shared" si="7"/>
        <v>4906.0280728527932</v>
      </c>
      <c r="F54" s="33">
        <f t="shared" si="8"/>
        <v>4906</v>
      </c>
      <c r="G54" s="63">
        <f t="shared" si="9"/>
        <v>2.2420974004489835E-2</v>
      </c>
      <c r="H54" s="63"/>
      <c r="I54" s="63"/>
      <c r="K54" s="63">
        <f t="shared" si="13"/>
        <v>2.2420974004489835E-2</v>
      </c>
      <c r="O54" s="33">
        <f t="shared" ca="1" si="10"/>
        <v>2.7606210275302401E-2</v>
      </c>
      <c r="P54" s="33">
        <f t="shared" ca="1" si="11"/>
        <v>3.4996544075274701E-2</v>
      </c>
      <c r="Q54" s="64">
        <f t="shared" si="12"/>
        <v>42246.08195</v>
      </c>
      <c r="R54" s="33">
        <f>G54</f>
        <v>2.2420974004489835E-2</v>
      </c>
    </row>
    <row r="55" spans="1:19" s="33" customFormat="1" x14ac:dyDescent="0.2">
      <c r="A55" s="68" t="s">
        <v>3</v>
      </c>
      <c r="B55" s="69" t="s">
        <v>54</v>
      </c>
      <c r="C55" s="70">
        <v>57305.325100000002</v>
      </c>
      <c r="D55" s="70" t="s">
        <v>5</v>
      </c>
      <c r="E55" s="62">
        <f t="shared" si="7"/>
        <v>4957.041755493975</v>
      </c>
      <c r="F55" s="33">
        <f t="shared" si="8"/>
        <v>4957</v>
      </c>
      <c r="G55" s="63">
        <f t="shared" si="9"/>
        <v>3.3348903001751751E-2</v>
      </c>
      <c r="H55" s="63"/>
      <c r="I55" s="63"/>
      <c r="K55" s="63">
        <f t="shared" si="13"/>
        <v>3.3348903001751751E-2</v>
      </c>
      <c r="O55" s="33">
        <f t="shared" ca="1" si="10"/>
        <v>2.7830561482706576E-2</v>
      </c>
      <c r="P55" s="33">
        <f t="shared" ca="1" si="11"/>
        <v>3.5222466539879524E-2</v>
      </c>
      <c r="Q55" s="64">
        <f t="shared" si="12"/>
        <v>42286.825100000002</v>
      </c>
      <c r="R55" s="33">
        <f>G55</f>
        <v>3.3348903001751751E-2</v>
      </c>
    </row>
    <row r="56" spans="1:19" s="33" customFormat="1" x14ac:dyDescent="0.2">
      <c r="A56" s="71" t="s">
        <v>2</v>
      </c>
      <c r="B56" s="69" t="s">
        <v>55</v>
      </c>
      <c r="C56" s="70">
        <v>57362.434399999998</v>
      </c>
      <c r="D56" s="70">
        <v>1E-4</v>
      </c>
      <c r="E56" s="62">
        <f t="shared" si="7"/>
        <v>5028.5471669817871</v>
      </c>
      <c r="F56" s="33">
        <f t="shared" si="8"/>
        <v>5028.5</v>
      </c>
      <c r="G56" s="63">
        <f t="shared" si="9"/>
        <v>3.7670901503588539E-2</v>
      </c>
      <c r="H56" s="63"/>
      <c r="I56" s="63"/>
      <c r="K56" s="63">
        <f t="shared" si="13"/>
        <v>3.7670901503588539E-2</v>
      </c>
      <c r="O56" s="33">
        <f t="shared" ca="1" si="10"/>
        <v>2.8145093077400662E-2</v>
      </c>
      <c r="P56" s="33">
        <f t="shared" ca="1" si="11"/>
        <v>3.5539200975550987E-2</v>
      </c>
      <c r="Q56" s="64">
        <f t="shared" si="12"/>
        <v>42343.934399999998</v>
      </c>
      <c r="S56" s="33">
        <f>G56</f>
        <v>3.7670901503588539E-2</v>
      </c>
    </row>
    <row r="57" spans="1:19" s="33" customFormat="1" x14ac:dyDescent="0.2">
      <c r="A57" s="71" t="s">
        <v>2</v>
      </c>
      <c r="B57" s="69" t="s">
        <v>54</v>
      </c>
      <c r="C57" s="70">
        <v>57364.420400000003</v>
      </c>
      <c r="D57" s="70">
        <v>2.0000000000000001E-4</v>
      </c>
      <c r="E57" s="62">
        <f t="shared" si="7"/>
        <v>5031.0337978320185</v>
      </c>
      <c r="F57" s="33">
        <f t="shared" si="8"/>
        <v>5031</v>
      </c>
      <c r="G57" s="63">
        <f t="shared" si="9"/>
        <v>2.6993349005351774E-2</v>
      </c>
      <c r="H57" s="63"/>
      <c r="I57" s="63"/>
      <c r="K57" s="63">
        <f t="shared" si="13"/>
        <v>2.6993349005351774E-2</v>
      </c>
      <c r="O57" s="33">
        <f t="shared" ca="1" si="10"/>
        <v>2.815609068560675E-2</v>
      </c>
      <c r="P57" s="33">
        <f t="shared" ca="1" si="11"/>
        <v>3.5550275606168871E-2</v>
      </c>
      <c r="Q57" s="64">
        <f t="shared" si="12"/>
        <v>42345.920400000003</v>
      </c>
      <c r="R57" s="33">
        <f>G57</f>
        <v>2.6993349005351774E-2</v>
      </c>
    </row>
    <row r="58" spans="1:19" s="33" customFormat="1" x14ac:dyDescent="0.2">
      <c r="A58" s="71" t="s">
        <v>4</v>
      </c>
      <c r="B58" s="72" t="s">
        <v>54</v>
      </c>
      <c r="C58" s="73">
        <v>57733.413</v>
      </c>
      <c r="D58" s="73"/>
      <c r="E58" s="62">
        <f t="shared" si="7"/>
        <v>5493.0420469080773</v>
      </c>
      <c r="F58" s="33">
        <f t="shared" si="8"/>
        <v>5493</v>
      </c>
      <c r="G58" s="63">
        <f t="shared" si="9"/>
        <v>3.3581647003302351E-2</v>
      </c>
      <c r="H58" s="63"/>
      <c r="I58" s="63"/>
      <c r="K58" s="63">
        <f t="shared" si="13"/>
        <v>3.3581647003302351E-2</v>
      </c>
      <c r="O58" s="33">
        <f t="shared" ca="1" si="10"/>
        <v>3.0188448682091626E-2</v>
      </c>
      <c r="P58" s="33">
        <f t="shared" ca="1" si="11"/>
        <v>3.7596867344353725E-2</v>
      </c>
      <c r="Q58" s="64">
        <f t="shared" si="12"/>
        <v>42714.913</v>
      </c>
      <c r="R58" s="33">
        <f>G58</f>
        <v>3.3581647003302351E-2</v>
      </c>
    </row>
    <row r="59" spans="1:19" s="33" customFormat="1" x14ac:dyDescent="0.2">
      <c r="A59" s="71" t="s">
        <v>4</v>
      </c>
      <c r="B59" s="72" t="s">
        <v>54</v>
      </c>
      <c r="C59" s="73">
        <v>57737.402999999998</v>
      </c>
      <c r="D59" s="73">
        <v>8.0000000000000002E-3</v>
      </c>
      <c r="E59" s="62">
        <f t="shared" si="7"/>
        <v>5498.0378460482561</v>
      </c>
      <c r="F59" s="33">
        <f t="shared" si="8"/>
        <v>5498</v>
      </c>
      <c r="G59" s="63">
        <f t="shared" si="9"/>
        <v>3.0226542003219947E-2</v>
      </c>
      <c r="H59" s="63"/>
      <c r="I59" s="63"/>
      <c r="K59" s="63">
        <f t="shared" si="13"/>
        <v>3.0226542003219947E-2</v>
      </c>
      <c r="O59" s="33">
        <f t="shared" ca="1" si="10"/>
        <v>3.0210443898503803E-2</v>
      </c>
      <c r="P59" s="33">
        <f t="shared" ca="1" si="11"/>
        <v>3.7619016605589493E-2</v>
      </c>
      <c r="Q59" s="64">
        <f t="shared" si="12"/>
        <v>42718.902999999998</v>
      </c>
      <c r="R59" s="33">
        <f>G59</f>
        <v>3.0226542003219947E-2</v>
      </c>
    </row>
    <row r="60" spans="1:19" x14ac:dyDescent="0.2">
      <c r="A60" s="74" t="s">
        <v>0</v>
      </c>
      <c r="B60" s="75" t="s">
        <v>55</v>
      </c>
      <c r="C60" s="61">
        <v>57786.534</v>
      </c>
      <c r="D60" s="61">
        <v>2.0000000000000001E-4</v>
      </c>
      <c r="E60" s="62">
        <f t="shared" ref="E60:E67" si="14">+(C60-C$7)/C$8</f>
        <v>5559.5537877916859</v>
      </c>
      <c r="F60" s="33">
        <f t="shared" si="8"/>
        <v>5559.5</v>
      </c>
      <c r="G60" s="63">
        <f t="shared" ref="G60:G67" si="15">+C60-(C$7+F60*C$8)</f>
        <v>4.2958750505931675E-2</v>
      </c>
      <c r="H60" s="63"/>
      <c r="I60" s="63"/>
      <c r="K60" s="63">
        <f t="shared" si="13"/>
        <v>4.2958750505931675E-2</v>
      </c>
      <c r="L60" s="33"/>
      <c r="M60" s="33"/>
      <c r="N60" s="33"/>
      <c r="O60" s="33">
        <f t="shared" ref="O60:P62" ca="1" si="16">+C$11+C$12*$F60</f>
        <v>3.0480985060373542E-2</v>
      </c>
      <c r="P60" s="33">
        <f t="shared" ca="1" si="16"/>
        <v>3.789145251878942E-2</v>
      </c>
      <c r="Q60" s="64">
        <f t="shared" ref="Q60:Q67" si="17">+C60-15018.5</f>
        <v>42768.034</v>
      </c>
      <c r="S60" s="33">
        <f>G60</f>
        <v>4.2958750505931675E-2</v>
      </c>
    </row>
    <row r="61" spans="1:19" x14ac:dyDescent="0.2">
      <c r="A61" s="74" t="s">
        <v>1</v>
      </c>
      <c r="B61" s="60" t="s">
        <v>54</v>
      </c>
      <c r="C61" s="74">
        <v>58044.895400000001</v>
      </c>
      <c r="D61" s="74">
        <v>2.0000000000000001E-4</v>
      </c>
      <c r="E61" s="62">
        <f t="shared" si="14"/>
        <v>5883.0429256303323</v>
      </c>
      <c r="F61" s="33">
        <f t="shared" si="8"/>
        <v>5883</v>
      </c>
      <c r="G61" s="63">
        <f t="shared" si="15"/>
        <v>3.4283457003766671E-2</v>
      </c>
      <c r="H61" s="63"/>
      <c r="I61" s="63"/>
      <c r="K61" s="63">
        <f t="shared" si="13"/>
        <v>3.4283457003766671E-2</v>
      </c>
      <c r="L61" s="33"/>
      <c r="M61" s="33"/>
      <c r="N61" s="33"/>
      <c r="O61" s="33">
        <f t="shared" ca="1" si="16"/>
        <v>3.1904075562241202E-2</v>
      </c>
      <c r="P61" s="33">
        <f t="shared" ca="1" si="16"/>
        <v>3.9324509720743535E-2</v>
      </c>
      <c r="Q61" s="64">
        <f t="shared" si="17"/>
        <v>43026.395400000001</v>
      </c>
      <c r="R61" s="33">
        <f t="shared" ref="R61:R67" si="18">G61</f>
        <v>3.4283457003766671E-2</v>
      </c>
      <c r="S61" s="33"/>
    </row>
    <row r="62" spans="1:19" x14ac:dyDescent="0.2">
      <c r="A62" s="74" t="s">
        <v>1</v>
      </c>
      <c r="B62" s="60" t="s">
        <v>54</v>
      </c>
      <c r="C62" s="74">
        <v>58137.541400000002</v>
      </c>
      <c r="D62" s="74">
        <v>1E-4</v>
      </c>
      <c r="E62" s="62">
        <f t="shared" si="14"/>
        <v>5999.0431279213835</v>
      </c>
      <c r="F62" s="33">
        <f t="shared" si="8"/>
        <v>5999</v>
      </c>
      <c r="G62" s="63">
        <f t="shared" si="15"/>
        <v>3.4445021003193688E-2</v>
      </c>
      <c r="H62" s="63"/>
      <c r="I62" s="63"/>
      <c r="K62" s="63">
        <f t="shared" si="13"/>
        <v>3.4445021003193688E-2</v>
      </c>
      <c r="L62" s="33"/>
      <c r="M62" s="33"/>
      <c r="N62" s="33"/>
      <c r="O62" s="33">
        <f t="shared" ca="1" si="16"/>
        <v>3.2414364583003633E-2</v>
      </c>
      <c r="P62" s="33">
        <f t="shared" ca="1" si="16"/>
        <v>3.9838372581413324E-2</v>
      </c>
      <c r="Q62" s="64">
        <f t="shared" si="17"/>
        <v>43119.041400000002</v>
      </c>
      <c r="R62" s="33">
        <f t="shared" si="18"/>
        <v>3.4445021003193688E-2</v>
      </c>
      <c r="S62" s="33"/>
    </row>
    <row r="63" spans="1:19" x14ac:dyDescent="0.2">
      <c r="A63" s="76" t="s">
        <v>195</v>
      </c>
      <c r="B63" s="40" t="s">
        <v>54</v>
      </c>
      <c r="C63" s="41">
        <v>59177.421600000001</v>
      </c>
      <c r="D63" s="41">
        <v>5.0000000000000001E-4</v>
      </c>
      <c r="E63" s="62">
        <f t="shared" si="14"/>
        <v>7301.0563131474937</v>
      </c>
      <c r="F63" s="33">
        <f t="shared" ref="F63:F68" si="19">ROUND(2*E63,0)/2</f>
        <v>7301</v>
      </c>
      <c r="G63" s="63">
        <f t="shared" si="15"/>
        <v>4.4975679003982805E-2</v>
      </c>
      <c r="H63" s="63"/>
      <c r="I63" s="63"/>
      <c r="K63" s="63">
        <f t="shared" si="13"/>
        <v>4.4975679003982805E-2</v>
      </c>
      <c r="L63" s="33"/>
      <c r="M63" s="33"/>
      <c r="N63" s="33"/>
      <c r="O63" s="33">
        <f t="shared" ref="O63:P67" ca="1" si="20">+C$11+C$12*$F63</f>
        <v>3.8141918936733743E-2</v>
      </c>
      <c r="P63" s="33">
        <f t="shared" ca="1" si="20"/>
        <v>4.5606040207206995E-2</v>
      </c>
      <c r="Q63" s="64">
        <f t="shared" si="17"/>
        <v>44158.921600000001</v>
      </c>
      <c r="R63" s="33">
        <f t="shared" si="18"/>
        <v>4.4975679003982805E-2</v>
      </c>
      <c r="S63" s="33"/>
    </row>
    <row r="64" spans="1:19" ht="13.5" customHeight="1" x14ac:dyDescent="0.2">
      <c r="A64" s="77" t="s">
        <v>196</v>
      </c>
      <c r="B64" s="78" t="s">
        <v>54</v>
      </c>
      <c r="C64" s="77">
        <v>59161.439999999944</v>
      </c>
      <c r="D64" s="77">
        <v>5.0000000000000001E-3</v>
      </c>
      <c r="E64" s="62">
        <f t="shared" si="14"/>
        <v>7281.0460716590187</v>
      </c>
      <c r="F64" s="33">
        <f t="shared" si="19"/>
        <v>7281</v>
      </c>
      <c r="G64" s="63">
        <f t="shared" si="15"/>
        <v>3.6796098946069833E-2</v>
      </c>
      <c r="H64" s="63"/>
      <c r="I64" s="63"/>
      <c r="K64" s="63">
        <f t="shared" si="13"/>
        <v>3.6796098946069833E-2</v>
      </c>
      <c r="L64" s="33"/>
      <c r="M64" s="33"/>
      <c r="N64" s="33"/>
      <c r="O64" s="33">
        <f t="shared" ca="1" si="20"/>
        <v>3.805393807108505E-2</v>
      </c>
      <c r="P64" s="33">
        <f t="shared" ca="1" si="20"/>
        <v>4.5517443162263929E-2</v>
      </c>
      <c r="Q64" s="64">
        <f t="shared" si="17"/>
        <v>44142.939999999944</v>
      </c>
      <c r="R64" s="33">
        <f t="shared" si="18"/>
        <v>3.6796098946069833E-2</v>
      </c>
      <c r="S64" s="33"/>
    </row>
    <row r="65" spans="1:19" ht="13.5" customHeight="1" x14ac:dyDescent="0.2">
      <c r="A65" s="77" t="s">
        <v>196</v>
      </c>
      <c r="B65" s="78" t="s">
        <v>55</v>
      </c>
      <c r="C65" s="77">
        <v>59163.441000000108</v>
      </c>
      <c r="D65" s="77">
        <v>5.0000000000000001E-3</v>
      </c>
      <c r="E65" s="62">
        <f t="shared" si="14"/>
        <v>7283.5514837092242</v>
      </c>
      <c r="F65" s="33">
        <f t="shared" si="19"/>
        <v>7283.5</v>
      </c>
      <c r="G65" s="63">
        <f t="shared" si="15"/>
        <v>4.111854660732206E-2</v>
      </c>
      <c r="H65" s="63"/>
      <c r="I65" s="63"/>
      <c r="K65" s="63">
        <f t="shared" si="13"/>
        <v>4.111854660732206E-2</v>
      </c>
      <c r="L65" s="33"/>
      <c r="M65" s="33"/>
      <c r="N65" s="33"/>
      <c r="O65" s="33"/>
      <c r="P65" s="33">
        <f t="shared" ca="1" si="20"/>
        <v>4.5528517792881813E-2</v>
      </c>
      <c r="Q65" s="64">
        <f t="shared" si="17"/>
        <v>44144.941000000108</v>
      </c>
      <c r="R65" s="33"/>
      <c r="S65" s="33">
        <f t="shared" ref="S65" si="21">G65</f>
        <v>4.111854660732206E-2</v>
      </c>
    </row>
    <row r="66" spans="1:19" ht="12" customHeight="1" x14ac:dyDescent="0.2">
      <c r="A66" s="77" t="s">
        <v>197</v>
      </c>
      <c r="B66" s="78" t="s">
        <v>54</v>
      </c>
      <c r="C66" s="79">
        <v>59177.421600000001</v>
      </c>
      <c r="D66" s="77">
        <v>5.0000000000000001E-4</v>
      </c>
      <c r="E66" s="62">
        <f t="shared" si="14"/>
        <v>7301.0563131474937</v>
      </c>
      <c r="F66" s="33">
        <f t="shared" si="19"/>
        <v>7301</v>
      </c>
      <c r="G66" s="63">
        <f t="shared" si="15"/>
        <v>4.4975679003982805E-2</v>
      </c>
      <c r="H66" s="63"/>
      <c r="I66" s="63"/>
      <c r="K66" s="63">
        <f t="shared" si="13"/>
        <v>4.4975679003982805E-2</v>
      </c>
      <c r="L66" s="33"/>
      <c r="M66" s="33"/>
      <c r="N66" s="33"/>
      <c r="O66" s="33">
        <f t="shared" ca="1" si="20"/>
        <v>3.8141918936733743E-2</v>
      </c>
      <c r="P66" s="33">
        <f t="shared" ca="1" si="20"/>
        <v>4.5606040207206995E-2</v>
      </c>
      <c r="Q66" s="64">
        <f t="shared" si="17"/>
        <v>44158.921600000001</v>
      </c>
      <c r="R66" s="33">
        <f t="shared" si="18"/>
        <v>4.4975679003982805E-2</v>
      </c>
      <c r="S66" s="33"/>
    </row>
    <row r="67" spans="1:19" ht="12" customHeight="1" x14ac:dyDescent="0.2">
      <c r="A67" s="77" t="s">
        <v>198</v>
      </c>
      <c r="B67" s="78" t="s">
        <v>54</v>
      </c>
      <c r="C67" s="77">
        <v>59490.495799999997</v>
      </c>
      <c r="D67" s="77">
        <v>1.2999999999999999E-3</v>
      </c>
      <c r="E67" s="62">
        <f t="shared" si="14"/>
        <v>7693.050252789878</v>
      </c>
      <c r="F67" s="33">
        <f t="shared" si="19"/>
        <v>7693</v>
      </c>
      <c r="G67" s="63">
        <f t="shared" si="15"/>
        <v>4.0135447001375724E-2</v>
      </c>
      <c r="H67" s="63"/>
      <c r="I67" s="63"/>
      <c r="K67" s="63">
        <f t="shared" si="13"/>
        <v>4.0135447001375724E-2</v>
      </c>
      <c r="L67" s="33"/>
      <c r="M67" s="33"/>
      <c r="N67" s="33"/>
      <c r="O67" s="33">
        <f t="shared" ca="1" si="20"/>
        <v>3.9866343903448183E-2</v>
      </c>
      <c r="P67" s="33">
        <f t="shared" ca="1" si="20"/>
        <v>4.7342542288091115E-2</v>
      </c>
      <c r="Q67" s="64">
        <f t="shared" si="17"/>
        <v>44471.995799999997</v>
      </c>
      <c r="R67" s="33">
        <f t="shared" si="18"/>
        <v>4.0135447001375724E-2</v>
      </c>
      <c r="S67" s="33"/>
    </row>
    <row r="68" spans="1:19" ht="12" customHeight="1" x14ac:dyDescent="0.2">
      <c r="A68" s="80" t="s">
        <v>200</v>
      </c>
      <c r="B68" s="81" t="s">
        <v>54</v>
      </c>
      <c r="C68" s="79">
        <v>59926.575900000003</v>
      </c>
      <c r="D68" s="77">
        <v>4.0000000000000002E-4</v>
      </c>
      <c r="E68" s="62">
        <f t="shared" ref="E68" si="22">+(C68-C$7)/C$8</f>
        <v>8239.057417860171</v>
      </c>
      <c r="F68" s="33">
        <f t="shared" si="19"/>
        <v>8239</v>
      </c>
      <c r="G68" s="63">
        <f t="shared" ref="G68" si="23">+C68-(C$7+F68*C$8)</f>
        <v>4.5857981007429771E-2</v>
      </c>
      <c r="H68" s="63"/>
      <c r="I68" s="63"/>
      <c r="K68" s="63">
        <f t="shared" si="13"/>
        <v>4.5857981007429771E-2</v>
      </c>
      <c r="L68" s="33"/>
      <c r="M68" s="33"/>
      <c r="N68" s="33"/>
      <c r="O68" s="33">
        <f t="shared" ref="O68" ca="1" si="24">+C$11+C$12*$F68</f>
        <v>4.2268221535657582E-2</v>
      </c>
      <c r="P68" s="33">
        <f t="shared" ref="P68" ca="1" si="25">+D$11+D$12*$F68</f>
        <v>4.9761241615036853E-2</v>
      </c>
      <c r="Q68" s="64">
        <f t="shared" ref="Q68" si="26">+C68-15018.5</f>
        <v>44908.075900000003</v>
      </c>
      <c r="R68" s="33">
        <f t="shared" ref="R68" si="27">G68</f>
        <v>4.5857981007429771E-2</v>
      </c>
      <c r="S68" s="33"/>
    </row>
    <row r="69" spans="1:19" ht="12" customHeight="1" x14ac:dyDescent="0.2">
      <c r="C69" s="32"/>
      <c r="E69" s="31"/>
      <c r="G69" s="32"/>
      <c r="H69" s="32"/>
      <c r="I69" s="32"/>
      <c r="J69" s="32"/>
      <c r="K69" s="32"/>
    </row>
    <row r="70" spans="1:19" ht="12" customHeight="1" x14ac:dyDescent="0.2">
      <c r="C70" s="32"/>
      <c r="E70" s="31"/>
      <c r="G70" s="32"/>
      <c r="H70" s="32"/>
      <c r="I70" s="32"/>
      <c r="J70" s="32"/>
      <c r="K70" s="32"/>
    </row>
    <row r="71" spans="1:19" ht="12" customHeight="1" x14ac:dyDescent="0.2">
      <c r="C71" s="32"/>
      <c r="E71" s="31"/>
      <c r="G71" s="32"/>
      <c r="H71" s="32"/>
      <c r="I71" s="32"/>
      <c r="J71" s="32"/>
      <c r="K71" s="32"/>
    </row>
    <row r="72" spans="1:19" ht="12" customHeight="1" x14ac:dyDescent="0.2">
      <c r="C72" s="32"/>
      <c r="E72" s="31"/>
      <c r="G72" s="32"/>
      <c r="H72" s="32"/>
      <c r="I72" s="32"/>
      <c r="J72" s="32"/>
      <c r="K72" s="32"/>
    </row>
    <row r="73" spans="1:19" ht="12" customHeight="1" x14ac:dyDescent="0.2">
      <c r="C73" s="32"/>
      <c r="E73" s="31"/>
      <c r="G73" s="32"/>
      <c r="H73" s="32"/>
      <c r="I73" s="32"/>
      <c r="J73" s="32"/>
      <c r="K73" s="32"/>
    </row>
    <row r="74" spans="1:19" x14ac:dyDescent="0.2">
      <c r="C74" s="32"/>
      <c r="E74" s="31"/>
      <c r="G74" s="32"/>
      <c r="H74" s="32"/>
      <c r="I74" s="32"/>
      <c r="J74" s="32"/>
      <c r="K74" s="32"/>
    </row>
    <row r="75" spans="1:19" x14ac:dyDescent="0.2">
      <c r="C75" s="32"/>
      <c r="E75" s="31"/>
      <c r="G75" s="32"/>
      <c r="H75" s="32"/>
      <c r="I75" s="32"/>
      <c r="J75" s="32"/>
      <c r="K75" s="32"/>
    </row>
    <row r="76" spans="1:19" x14ac:dyDescent="0.2">
      <c r="C76" s="32"/>
      <c r="E76" s="31"/>
      <c r="G76" s="32"/>
      <c r="H76" s="32"/>
      <c r="I76" s="32"/>
      <c r="J76" s="32"/>
      <c r="K76" s="32"/>
    </row>
    <row r="77" spans="1:19" x14ac:dyDescent="0.2">
      <c r="C77" s="32"/>
      <c r="E77" s="31"/>
      <c r="G77" s="32"/>
      <c r="H77" s="32"/>
      <c r="I77" s="32"/>
      <c r="J77" s="32"/>
      <c r="K77" s="32"/>
    </row>
    <row r="78" spans="1:19" x14ac:dyDescent="0.2">
      <c r="C78" s="32"/>
      <c r="E78" s="31"/>
      <c r="G78" s="32"/>
      <c r="H78" s="32"/>
      <c r="I78" s="32"/>
      <c r="J78" s="32"/>
      <c r="K78" s="32"/>
    </row>
  </sheetData>
  <phoneticPr fontId="8" type="noConversion"/>
  <hyperlinks>
    <hyperlink ref="H3612" r:id="rId1" display="http://vsolj.cetus-net.org/bulletin.html" xr:uid="{00000000-0004-0000-0000-000000000000}"/>
    <hyperlink ref="H64935" r:id="rId2" display="http://vsolj.cetus-net.org/bulletin.html" xr:uid="{00000000-0004-0000-0000-000001000000}"/>
    <hyperlink ref="H64928" r:id="rId3" display="http://vsolj.cetus-net.org/bulletin.html" xr:uid="{00000000-0004-0000-0000-000002000000}"/>
    <hyperlink ref="AP2425" r:id="rId4" display="http://cdsbib.u-strasbg.fr/cgi-bin/cdsbib?1990RMxAA..21..381G" xr:uid="{00000000-0004-0000-0000-000003000000}"/>
    <hyperlink ref="AP2428" r:id="rId5" display="http://cdsbib.u-strasbg.fr/cgi-bin/cdsbib?1990RMxAA..21..381G" xr:uid="{00000000-0004-0000-0000-000004000000}"/>
    <hyperlink ref="AP2426" r:id="rId6" display="http://cdsbib.u-strasbg.fr/cgi-bin/cdsbib?1990RMxAA..21..381G" xr:uid="{00000000-0004-0000-0000-000005000000}"/>
    <hyperlink ref="AP2404" r:id="rId7" display="http://cdsbib.u-strasbg.fr/cgi-bin/cdsbib?1990RMxAA..21..381G" xr:uid="{00000000-0004-0000-0000-000006000000}"/>
    <hyperlink ref="I64935" r:id="rId8" display="http://vsolj.cetus-net.org/bulletin.html" xr:uid="{00000000-0004-0000-0000-000007000000}"/>
    <hyperlink ref="AQ2538" r:id="rId9" display="http://cdsbib.u-strasbg.fr/cgi-bin/cdsbib?1990RMxAA..21..381G" xr:uid="{00000000-0004-0000-0000-000008000000}"/>
    <hyperlink ref="AQ807" r:id="rId10" display="http://cdsbib.u-strasbg.fr/cgi-bin/cdsbib?1990RMxAA..21..381G" xr:uid="{00000000-0004-0000-0000-000009000000}"/>
    <hyperlink ref="AQ2539" r:id="rId11" display="http://cdsbib.u-strasbg.fr/cgi-bin/cdsbib?1990RMxAA..21..381G" xr:uid="{00000000-0004-0000-0000-00000A000000}"/>
    <hyperlink ref="H64932" r:id="rId12" display="https://www.aavso.org/ejaavso" xr:uid="{00000000-0004-0000-0000-00000B000000}"/>
  </hyperlinks>
  <pageMargins left="0.75" right="0.75" top="1" bottom="1" header="0.5" footer="0.5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4"/>
  <sheetViews>
    <sheetView topLeftCell="A4" workbookViewId="0">
      <selection activeCell="A51" sqref="A51:A53"/>
    </sheetView>
  </sheetViews>
  <sheetFormatPr defaultRowHeight="12.75" x14ac:dyDescent="0.2"/>
  <cols>
    <col min="1" max="1" width="16.28515625" style="10" customWidth="1"/>
    <col min="2" max="2" width="4.42578125" style="14" customWidth="1"/>
    <col min="3" max="3" width="12.7109375" style="10" customWidth="1"/>
    <col min="4" max="4" width="3.5703125" style="14" customWidth="1"/>
    <col min="5" max="5" width="12.42578125" style="14" customWidth="1"/>
    <col min="6" max="6" width="5.42578125" style="14" customWidth="1"/>
    <col min="7" max="7" width="12" style="14" customWidth="1"/>
    <col min="8" max="8" width="7.28515625" style="1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7" t="s">
        <v>74</v>
      </c>
      <c r="I1" s="48" t="s">
        <v>75</v>
      </c>
      <c r="J1" s="49" t="s">
        <v>44</v>
      </c>
    </row>
    <row r="2" spans="1:16" x14ac:dyDescent="0.2">
      <c r="I2" s="50" t="s">
        <v>76</v>
      </c>
      <c r="J2" s="51" t="s">
        <v>43</v>
      </c>
    </row>
    <row r="3" spans="1:16" x14ac:dyDescent="0.2">
      <c r="A3" s="52" t="s">
        <v>77</v>
      </c>
      <c r="I3" s="50" t="s">
        <v>78</v>
      </c>
      <c r="J3" s="51" t="s">
        <v>41</v>
      </c>
    </row>
    <row r="4" spans="1:16" x14ac:dyDescent="0.2">
      <c r="I4" s="50" t="s">
        <v>79</v>
      </c>
      <c r="J4" s="51" t="s">
        <v>41</v>
      </c>
    </row>
    <row r="5" spans="1:16" ht="13.5" thickBot="1" x14ac:dyDescent="0.25">
      <c r="I5" s="53" t="s">
        <v>80</v>
      </c>
      <c r="J5" s="54" t="s">
        <v>42</v>
      </c>
    </row>
    <row r="10" spans="1:16" ht="13.5" thickBot="1" x14ac:dyDescent="0.25"/>
    <row r="11" spans="1:16" ht="12.75" customHeight="1" thickBot="1" x14ac:dyDescent="0.25">
      <c r="A11" s="10" t="str">
        <f t="shared" ref="A11:A35" si="0">P11</f>
        <v>IBVS 4855 </v>
      </c>
      <c r="B11" s="9" t="str">
        <f t="shared" ref="B11:B35" si="1">IF(H11=INT(H11),"I","II")</f>
        <v>II</v>
      </c>
      <c r="C11" s="10">
        <f t="shared" ref="C11:C35" si="2">1*G11</f>
        <v>51510.540800000002</v>
      </c>
      <c r="D11" s="14" t="str">
        <f t="shared" ref="D11:D35" si="3">VLOOKUP(F11,I$1:J$5,2,FALSE)</f>
        <v>vis</v>
      </c>
      <c r="E11" s="55">
        <f>VLOOKUP(C11,Active!C$21:E$973,3,FALSE)</f>
        <v>-2298.4916839745893</v>
      </c>
      <c r="F11" s="9" t="s">
        <v>80</v>
      </c>
      <c r="G11" s="14" t="str">
        <f t="shared" ref="G11:G35" si="4">MID(I11,3,LEN(I11)-3)</f>
        <v>51510.5408</v>
      </c>
      <c r="H11" s="10">
        <f t="shared" ref="H11:H35" si="5">1*K11</f>
        <v>-1239.5</v>
      </c>
      <c r="I11" s="56" t="s">
        <v>81</v>
      </c>
      <c r="J11" s="57" t="s">
        <v>82</v>
      </c>
      <c r="K11" s="56">
        <v>-1239.5</v>
      </c>
      <c r="L11" s="56" t="s">
        <v>83</v>
      </c>
      <c r="M11" s="57" t="s">
        <v>84</v>
      </c>
      <c r="N11" s="57" t="s">
        <v>85</v>
      </c>
      <c r="O11" s="58" t="s">
        <v>86</v>
      </c>
      <c r="P11" s="59" t="s">
        <v>87</v>
      </c>
    </row>
    <row r="12" spans="1:16" ht="12.75" customHeight="1" thickBot="1" x14ac:dyDescent="0.25">
      <c r="A12" s="10" t="str">
        <f t="shared" si="0"/>
        <v>IBVS 4855 </v>
      </c>
      <c r="B12" s="9" t="str">
        <f t="shared" si="1"/>
        <v>II</v>
      </c>
      <c r="C12" s="10">
        <f t="shared" si="2"/>
        <v>51510.541899999997</v>
      </c>
      <c r="D12" s="14" t="str">
        <f t="shared" si="3"/>
        <v>vis</v>
      </c>
      <c r="E12" s="55">
        <f>VLOOKUP(C12,Active!C$21:E$973,3,FALSE)</f>
        <v>-2298.4903066866132</v>
      </c>
      <c r="F12" s="9" t="s">
        <v>80</v>
      </c>
      <c r="G12" s="14" t="str">
        <f t="shared" si="4"/>
        <v>51510.5419</v>
      </c>
      <c r="H12" s="10">
        <f t="shared" si="5"/>
        <v>-1239.5</v>
      </c>
      <c r="I12" s="56" t="s">
        <v>88</v>
      </c>
      <c r="J12" s="57" t="s">
        <v>89</v>
      </c>
      <c r="K12" s="56">
        <v>-1239.5</v>
      </c>
      <c r="L12" s="56" t="s">
        <v>90</v>
      </c>
      <c r="M12" s="57" t="s">
        <v>84</v>
      </c>
      <c r="N12" s="57" t="s">
        <v>91</v>
      </c>
      <c r="O12" s="58" t="s">
        <v>86</v>
      </c>
      <c r="P12" s="59" t="s">
        <v>87</v>
      </c>
    </row>
    <row r="13" spans="1:16" ht="12.75" customHeight="1" thickBot="1" x14ac:dyDescent="0.25">
      <c r="A13" s="10" t="str">
        <f t="shared" si="0"/>
        <v>IBVS 4855 </v>
      </c>
      <c r="B13" s="9" t="str">
        <f t="shared" si="1"/>
        <v>II</v>
      </c>
      <c r="C13" s="10">
        <f t="shared" si="2"/>
        <v>51510.542099999999</v>
      </c>
      <c r="D13" s="14" t="str">
        <f t="shared" si="3"/>
        <v>vis</v>
      </c>
      <c r="E13" s="55">
        <f>VLOOKUP(C13,Active!C$21:E$973,3,FALSE)</f>
        <v>-2298.4900562706134</v>
      </c>
      <c r="F13" s="9" t="s">
        <v>80</v>
      </c>
      <c r="G13" s="14" t="str">
        <f t="shared" si="4"/>
        <v>51510.5421</v>
      </c>
      <c r="H13" s="10">
        <f t="shared" si="5"/>
        <v>-1239.5</v>
      </c>
      <c r="I13" s="56" t="s">
        <v>92</v>
      </c>
      <c r="J13" s="57" t="s">
        <v>89</v>
      </c>
      <c r="K13" s="56">
        <v>-1239.5</v>
      </c>
      <c r="L13" s="56" t="s">
        <v>93</v>
      </c>
      <c r="M13" s="57" t="s">
        <v>84</v>
      </c>
      <c r="N13" s="57" t="s">
        <v>94</v>
      </c>
      <c r="O13" s="58" t="s">
        <v>86</v>
      </c>
      <c r="P13" s="59" t="s">
        <v>87</v>
      </c>
    </row>
    <row r="14" spans="1:16" ht="12.75" customHeight="1" thickBot="1" x14ac:dyDescent="0.25">
      <c r="A14" s="10" t="str">
        <f t="shared" si="0"/>
        <v>IBVS 5407 </v>
      </c>
      <c r="B14" s="9" t="str">
        <f t="shared" si="1"/>
        <v>I</v>
      </c>
      <c r="C14" s="10">
        <f t="shared" si="2"/>
        <v>52595.527300000002</v>
      </c>
      <c r="D14" s="14" t="str">
        <f t="shared" si="3"/>
        <v>vis</v>
      </c>
      <c r="E14" s="55">
        <f>VLOOKUP(C14,Active!C$21:E$973,3,FALSE)</f>
        <v>-940.00180332071341</v>
      </c>
      <c r="F14" s="9" t="s">
        <v>80</v>
      </c>
      <c r="G14" s="14" t="str">
        <f t="shared" si="4"/>
        <v>52595.5273</v>
      </c>
      <c r="H14" s="10">
        <f t="shared" si="5"/>
        <v>119</v>
      </c>
      <c r="I14" s="56" t="s">
        <v>95</v>
      </c>
      <c r="J14" s="57" t="s">
        <v>96</v>
      </c>
      <c r="K14" s="56">
        <v>119</v>
      </c>
      <c r="L14" s="56" t="s">
        <v>97</v>
      </c>
      <c r="M14" s="57" t="s">
        <v>84</v>
      </c>
      <c r="N14" s="57" t="s">
        <v>98</v>
      </c>
      <c r="O14" s="58" t="s">
        <v>99</v>
      </c>
      <c r="P14" s="59" t="s">
        <v>100</v>
      </c>
    </row>
    <row r="15" spans="1:16" ht="12.75" customHeight="1" thickBot="1" x14ac:dyDescent="0.25">
      <c r="A15" s="10" t="str">
        <f t="shared" si="0"/>
        <v>IBVS 5623 </v>
      </c>
      <c r="B15" s="9" t="str">
        <f t="shared" si="1"/>
        <v>II</v>
      </c>
      <c r="C15" s="10">
        <f t="shared" si="2"/>
        <v>52697.3649</v>
      </c>
      <c r="D15" s="14" t="str">
        <f t="shared" si="3"/>
        <v>vis</v>
      </c>
      <c r="E15" s="55">
        <f>VLOOKUP(C15,Active!C$21:E$973,3,FALSE)</f>
        <v>-812.49298263946457</v>
      </c>
      <c r="F15" s="9" t="s">
        <v>80</v>
      </c>
      <c r="G15" s="14" t="str">
        <f t="shared" si="4"/>
        <v>52697.3649</v>
      </c>
      <c r="H15" s="10">
        <f t="shared" si="5"/>
        <v>246.5</v>
      </c>
      <c r="I15" s="56" t="s">
        <v>101</v>
      </c>
      <c r="J15" s="57" t="s">
        <v>102</v>
      </c>
      <c r="K15" s="56">
        <v>246.5</v>
      </c>
      <c r="L15" s="56" t="s">
        <v>103</v>
      </c>
      <c r="M15" s="57" t="s">
        <v>84</v>
      </c>
      <c r="N15" s="57" t="s">
        <v>98</v>
      </c>
      <c r="O15" s="58" t="s">
        <v>104</v>
      </c>
      <c r="P15" s="59" t="s">
        <v>105</v>
      </c>
    </row>
    <row r="16" spans="1:16" ht="12.75" customHeight="1" thickBot="1" x14ac:dyDescent="0.25">
      <c r="A16" s="10" t="str">
        <f t="shared" si="0"/>
        <v>IBVS 5606 </v>
      </c>
      <c r="B16" s="9" t="str">
        <f t="shared" si="1"/>
        <v>II</v>
      </c>
      <c r="C16" s="10">
        <f t="shared" si="2"/>
        <v>53252.4473</v>
      </c>
      <c r="D16" s="14" t="str">
        <f t="shared" si="3"/>
        <v>vis</v>
      </c>
      <c r="E16" s="55">
        <f>VLOOKUP(C16,Active!C$21:E$973,3,FALSE)</f>
        <v>-117.48541956926356</v>
      </c>
      <c r="F16" s="9" t="s">
        <v>80</v>
      </c>
      <c r="G16" s="14" t="str">
        <f t="shared" si="4"/>
        <v>53252.4473</v>
      </c>
      <c r="H16" s="10">
        <f t="shared" si="5"/>
        <v>941.5</v>
      </c>
      <c r="I16" s="56" t="s">
        <v>106</v>
      </c>
      <c r="J16" s="57" t="s">
        <v>107</v>
      </c>
      <c r="K16" s="56">
        <v>941.5</v>
      </c>
      <c r="L16" s="56" t="s">
        <v>108</v>
      </c>
      <c r="M16" s="57" t="s">
        <v>84</v>
      </c>
      <c r="N16" s="57" t="s">
        <v>98</v>
      </c>
      <c r="O16" s="58" t="s">
        <v>109</v>
      </c>
      <c r="P16" s="59" t="s">
        <v>110</v>
      </c>
    </row>
    <row r="17" spans="1:16" ht="12.75" customHeight="1" thickBot="1" x14ac:dyDescent="0.25">
      <c r="A17" s="10" t="str">
        <f t="shared" si="0"/>
        <v>IBVS 5623 </v>
      </c>
      <c r="B17" s="9" t="str">
        <f t="shared" si="1"/>
        <v>II</v>
      </c>
      <c r="C17" s="10">
        <f t="shared" si="2"/>
        <v>53304.3583</v>
      </c>
      <c r="D17" s="14" t="str">
        <f t="shared" si="3"/>
        <v>vis</v>
      </c>
      <c r="E17" s="55">
        <f>VLOOKUP(C17,Active!C$21:E$973,3,FALSE)</f>
        <v>-52.488695467513459</v>
      </c>
      <c r="F17" s="9" t="s">
        <v>80</v>
      </c>
      <c r="G17" s="14" t="str">
        <f t="shared" si="4"/>
        <v>53304.3583</v>
      </c>
      <c r="H17" s="10">
        <f t="shared" si="5"/>
        <v>1006.5</v>
      </c>
      <c r="I17" s="56" t="s">
        <v>111</v>
      </c>
      <c r="J17" s="57" t="s">
        <v>112</v>
      </c>
      <c r="K17" s="56">
        <v>1006.5</v>
      </c>
      <c r="L17" s="56" t="s">
        <v>113</v>
      </c>
      <c r="M17" s="57" t="s">
        <v>84</v>
      </c>
      <c r="N17" s="57" t="s">
        <v>98</v>
      </c>
      <c r="O17" s="58" t="s">
        <v>104</v>
      </c>
      <c r="P17" s="59" t="s">
        <v>105</v>
      </c>
    </row>
    <row r="18" spans="1:16" ht="12.75" customHeight="1" thickBot="1" x14ac:dyDescent="0.25">
      <c r="A18" s="10" t="str">
        <f t="shared" si="0"/>
        <v>IBVS 5623 </v>
      </c>
      <c r="B18" s="9" t="str">
        <f t="shared" si="1"/>
        <v>I</v>
      </c>
      <c r="C18" s="10">
        <f t="shared" si="2"/>
        <v>53305.5504</v>
      </c>
      <c r="D18" s="14" t="str">
        <f t="shared" si="3"/>
        <v>vis</v>
      </c>
      <c r="E18" s="55">
        <f>VLOOKUP(C18,Active!C$21:E$973,3,FALSE)</f>
        <v>-50.99609091738516</v>
      </c>
      <c r="F18" s="9" t="s">
        <v>80</v>
      </c>
      <c r="G18" s="14" t="str">
        <f t="shared" si="4"/>
        <v>53305.5504</v>
      </c>
      <c r="H18" s="10">
        <f t="shared" si="5"/>
        <v>1008</v>
      </c>
      <c r="I18" s="56" t="s">
        <v>114</v>
      </c>
      <c r="J18" s="57" t="s">
        <v>115</v>
      </c>
      <c r="K18" s="56">
        <v>1008</v>
      </c>
      <c r="L18" s="56" t="s">
        <v>116</v>
      </c>
      <c r="M18" s="57" t="s">
        <v>84</v>
      </c>
      <c r="N18" s="57" t="s">
        <v>98</v>
      </c>
      <c r="O18" s="58" t="s">
        <v>104</v>
      </c>
      <c r="P18" s="59" t="s">
        <v>105</v>
      </c>
    </row>
    <row r="19" spans="1:16" ht="12.75" customHeight="1" thickBot="1" x14ac:dyDescent="0.25">
      <c r="A19" s="10" t="str">
        <f t="shared" si="0"/>
        <v>IBVS 5623 </v>
      </c>
      <c r="B19" s="9" t="str">
        <f t="shared" si="1"/>
        <v>I</v>
      </c>
      <c r="C19" s="10">
        <f t="shared" si="2"/>
        <v>53306.345500000003</v>
      </c>
      <c r="D19" s="14" t="str">
        <f t="shared" si="3"/>
        <v>vis</v>
      </c>
      <c r="E19" s="55">
        <f>VLOOKUP(C19,Active!C$21:E$973,3,FALSE)</f>
        <v>-50.000562121301542</v>
      </c>
      <c r="F19" s="9" t="s">
        <v>80</v>
      </c>
      <c r="G19" s="14" t="str">
        <f t="shared" si="4"/>
        <v>53306.3455</v>
      </c>
      <c r="H19" s="10">
        <f t="shared" si="5"/>
        <v>1009</v>
      </c>
      <c r="I19" s="56" t="s">
        <v>117</v>
      </c>
      <c r="J19" s="57" t="s">
        <v>118</v>
      </c>
      <c r="K19" s="56">
        <v>1009</v>
      </c>
      <c r="L19" s="56" t="s">
        <v>119</v>
      </c>
      <c r="M19" s="57" t="s">
        <v>84</v>
      </c>
      <c r="N19" s="57" t="s">
        <v>98</v>
      </c>
      <c r="O19" s="58" t="s">
        <v>104</v>
      </c>
      <c r="P19" s="59" t="s">
        <v>105</v>
      </c>
    </row>
    <row r="20" spans="1:16" ht="12.75" customHeight="1" thickBot="1" x14ac:dyDescent="0.25">
      <c r="A20" s="10" t="str">
        <f t="shared" si="0"/>
        <v>IBVS 5649 </v>
      </c>
      <c r="B20" s="9" t="str">
        <f t="shared" si="1"/>
        <v>I</v>
      </c>
      <c r="C20" s="10">
        <f t="shared" si="2"/>
        <v>53314.334600000002</v>
      </c>
      <c r="D20" s="14" t="str">
        <f t="shared" si="3"/>
        <v>vis</v>
      </c>
      <c r="E20" s="55">
        <f>VLOOKUP(C20,Active!C$21:E$973,3,FALSE)</f>
        <v>-39.997569913075587</v>
      </c>
      <c r="F20" s="9" t="s">
        <v>80</v>
      </c>
      <c r="G20" s="14" t="str">
        <f t="shared" si="4"/>
        <v>53314.3346</v>
      </c>
      <c r="H20" s="10">
        <f t="shared" si="5"/>
        <v>1019</v>
      </c>
      <c r="I20" s="56" t="s">
        <v>120</v>
      </c>
      <c r="J20" s="57" t="s">
        <v>121</v>
      </c>
      <c r="K20" s="56">
        <v>1019</v>
      </c>
      <c r="L20" s="56" t="s">
        <v>122</v>
      </c>
      <c r="M20" s="57" t="s">
        <v>84</v>
      </c>
      <c r="N20" s="57" t="s">
        <v>98</v>
      </c>
      <c r="O20" s="58" t="s">
        <v>123</v>
      </c>
      <c r="P20" s="59" t="s">
        <v>124</v>
      </c>
    </row>
    <row r="21" spans="1:16" ht="12.75" customHeight="1" thickBot="1" x14ac:dyDescent="0.25">
      <c r="A21" s="10" t="str">
        <f t="shared" si="0"/>
        <v>IBVS 5649 </v>
      </c>
      <c r="B21" s="9" t="str">
        <f t="shared" si="1"/>
        <v>II</v>
      </c>
      <c r="C21" s="10">
        <f t="shared" si="2"/>
        <v>53315.536</v>
      </c>
      <c r="D21" s="14" t="str">
        <f t="shared" si="3"/>
        <v>vis</v>
      </c>
      <c r="E21" s="55">
        <f>VLOOKUP(C21,Active!C$21:E$973,3,FALSE)</f>
        <v>-38.493321019089358</v>
      </c>
      <c r="F21" s="9" t="s">
        <v>80</v>
      </c>
      <c r="G21" s="14" t="str">
        <f t="shared" si="4"/>
        <v>53315.5360</v>
      </c>
      <c r="H21" s="10">
        <f t="shared" si="5"/>
        <v>1020.5</v>
      </c>
      <c r="I21" s="56" t="s">
        <v>125</v>
      </c>
      <c r="J21" s="57" t="s">
        <v>126</v>
      </c>
      <c r="K21" s="56">
        <v>1020.5</v>
      </c>
      <c r="L21" s="56" t="s">
        <v>127</v>
      </c>
      <c r="M21" s="57" t="s">
        <v>84</v>
      </c>
      <c r="N21" s="57" t="s">
        <v>98</v>
      </c>
      <c r="O21" s="58" t="s">
        <v>123</v>
      </c>
      <c r="P21" s="59" t="s">
        <v>124</v>
      </c>
    </row>
    <row r="22" spans="1:16" ht="12.75" customHeight="1" thickBot="1" x14ac:dyDescent="0.25">
      <c r="A22" s="10" t="str">
        <f t="shared" si="0"/>
        <v>BAVM 173 </v>
      </c>
      <c r="B22" s="9" t="str">
        <f t="shared" si="1"/>
        <v>I</v>
      </c>
      <c r="C22" s="10">
        <f t="shared" si="2"/>
        <v>53346.279499999997</v>
      </c>
      <c r="D22" s="14" t="str">
        <f t="shared" si="3"/>
        <v>vis</v>
      </c>
      <c r="E22" s="55">
        <f>VLOOKUP(C22,Active!C$21:E$973,3,FALSE)</f>
        <v>0</v>
      </c>
      <c r="F22" s="9" t="s">
        <v>80</v>
      </c>
      <c r="G22" s="14" t="str">
        <f t="shared" si="4"/>
        <v>53346.2795</v>
      </c>
      <c r="H22" s="10">
        <f t="shared" si="5"/>
        <v>1059</v>
      </c>
      <c r="I22" s="56" t="s">
        <v>128</v>
      </c>
      <c r="J22" s="57" t="s">
        <v>129</v>
      </c>
      <c r="K22" s="56">
        <v>1059</v>
      </c>
      <c r="L22" s="56" t="s">
        <v>130</v>
      </c>
      <c r="M22" s="57" t="s">
        <v>84</v>
      </c>
      <c r="N22" s="57" t="s">
        <v>131</v>
      </c>
      <c r="O22" s="58" t="s">
        <v>132</v>
      </c>
      <c r="P22" s="59" t="s">
        <v>133</v>
      </c>
    </row>
    <row r="23" spans="1:16" ht="12.75" customHeight="1" thickBot="1" x14ac:dyDescent="0.25">
      <c r="A23" s="10" t="str">
        <f t="shared" si="0"/>
        <v>BAVM 178 </v>
      </c>
      <c r="B23" s="9" t="str">
        <f t="shared" si="1"/>
        <v>I</v>
      </c>
      <c r="C23" s="10">
        <f t="shared" si="2"/>
        <v>53655.369700000003</v>
      </c>
      <c r="D23" s="14" t="str">
        <f t="shared" si="3"/>
        <v>vis</v>
      </c>
      <c r="E23" s="55">
        <f>VLOOKUP(C23,Active!C$21:E$973,3,FALSE)</f>
        <v>387.0056529821257</v>
      </c>
      <c r="F23" s="9" t="s">
        <v>80</v>
      </c>
      <c r="G23" s="14" t="str">
        <f t="shared" si="4"/>
        <v>53655.3697</v>
      </c>
      <c r="H23" s="10">
        <f t="shared" si="5"/>
        <v>1446</v>
      </c>
      <c r="I23" s="56" t="s">
        <v>134</v>
      </c>
      <c r="J23" s="57" t="s">
        <v>135</v>
      </c>
      <c r="K23" s="56">
        <v>1446</v>
      </c>
      <c r="L23" s="56" t="s">
        <v>136</v>
      </c>
      <c r="M23" s="57" t="s">
        <v>137</v>
      </c>
      <c r="N23" s="57" t="s">
        <v>131</v>
      </c>
      <c r="O23" s="58" t="s">
        <v>132</v>
      </c>
      <c r="P23" s="59" t="s">
        <v>138</v>
      </c>
    </row>
    <row r="24" spans="1:16" ht="12.75" customHeight="1" thickBot="1" x14ac:dyDescent="0.25">
      <c r="A24" s="10" t="str">
        <f t="shared" si="0"/>
        <v> JAAVSO 41;122 </v>
      </c>
      <c r="B24" s="9" t="str">
        <f t="shared" si="1"/>
        <v>I</v>
      </c>
      <c r="C24" s="10">
        <f t="shared" si="2"/>
        <v>53990.812599999997</v>
      </c>
      <c r="D24" s="14" t="str">
        <f t="shared" si="3"/>
        <v>vis</v>
      </c>
      <c r="E24" s="55">
        <f>VLOOKUP(C24,Active!C$21:E$973,3,FALSE)</f>
        <v>807.00699418515717</v>
      </c>
      <c r="F24" s="9" t="s">
        <v>80</v>
      </c>
      <c r="G24" s="14" t="str">
        <f t="shared" si="4"/>
        <v>53990.8126</v>
      </c>
      <c r="H24" s="10">
        <f t="shared" si="5"/>
        <v>1866</v>
      </c>
      <c r="I24" s="56" t="s">
        <v>139</v>
      </c>
      <c r="J24" s="57" t="s">
        <v>140</v>
      </c>
      <c r="K24" s="56">
        <v>1866</v>
      </c>
      <c r="L24" s="56" t="s">
        <v>141</v>
      </c>
      <c r="M24" s="57" t="s">
        <v>137</v>
      </c>
      <c r="N24" s="57" t="s">
        <v>142</v>
      </c>
      <c r="O24" s="58" t="s">
        <v>143</v>
      </c>
      <c r="P24" s="58" t="s">
        <v>144</v>
      </c>
    </row>
    <row r="25" spans="1:16" ht="12.75" customHeight="1" thickBot="1" x14ac:dyDescent="0.25">
      <c r="A25" s="10" t="str">
        <f t="shared" si="0"/>
        <v>IBVS 5760 </v>
      </c>
      <c r="B25" s="9" t="str">
        <f t="shared" si="1"/>
        <v>II</v>
      </c>
      <c r="C25" s="10">
        <f t="shared" si="2"/>
        <v>54011.986799999999</v>
      </c>
      <c r="D25" s="14" t="str">
        <f t="shared" si="3"/>
        <v>vis</v>
      </c>
      <c r="E25" s="55">
        <f>VLOOKUP(C25,Active!C$21:E$973,3,FALSE)</f>
        <v>833.51878620371508</v>
      </c>
      <c r="F25" s="9" t="s">
        <v>80</v>
      </c>
      <c r="G25" s="14" t="str">
        <f t="shared" si="4"/>
        <v>54011.9868</v>
      </c>
      <c r="H25" s="10">
        <f t="shared" si="5"/>
        <v>1892.5</v>
      </c>
      <c r="I25" s="56" t="s">
        <v>145</v>
      </c>
      <c r="J25" s="57" t="s">
        <v>146</v>
      </c>
      <c r="K25" s="56">
        <v>1892.5</v>
      </c>
      <c r="L25" s="56" t="s">
        <v>147</v>
      </c>
      <c r="M25" s="57" t="s">
        <v>137</v>
      </c>
      <c r="N25" s="57" t="s">
        <v>94</v>
      </c>
      <c r="O25" s="58" t="s">
        <v>148</v>
      </c>
      <c r="P25" s="59" t="s">
        <v>149</v>
      </c>
    </row>
    <row r="26" spans="1:16" ht="12.75" customHeight="1" thickBot="1" x14ac:dyDescent="0.25">
      <c r="A26" s="10" t="str">
        <f t="shared" si="0"/>
        <v>IBVS 5736 </v>
      </c>
      <c r="B26" s="9" t="str">
        <f t="shared" si="1"/>
        <v>II</v>
      </c>
      <c r="C26" s="10">
        <f t="shared" si="2"/>
        <v>54018.369400000003</v>
      </c>
      <c r="D26" s="14" t="str">
        <f t="shared" si="3"/>
        <v>vis</v>
      </c>
      <c r="E26" s="55">
        <f>VLOOKUP(C26,Active!C$21:E$973,3,FALSE)</f>
        <v>841.51031191603272</v>
      </c>
      <c r="F26" s="9" t="s">
        <v>80</v>
      </c>
      <c r="G26" s="14" t="str">
        <f t="shared" si="4"/>
        <v>54018.3694</v>
      </c>
      <c r="H26" s="10">
        <f t="shared" si="5"/>
        <v>1900.5</v>
      </c>
      <c r="I26" s="56" t="s">
        <v>150</v>
      </c>
      <c r="J26" s="57" t="s">
        <v>151</v>
      </c>
      <c r="K26" s="56">
        <v>1900.5</v>
      </c>
      <c r="L26" s="56" t="s">
        <v>152</v>
      </c>
      <c r="M26" s="57" t="s">
        <v>84</v>
      </c>
      <c r="N26" s="57" t="s">
        <v>98</v>
      </c>
      <c r="O26" s="58" t="s">
        <v>153</v>
      </c>
      <c r="P26" s="59" t="s">
        <v>154</v>
      </c>
    </row>
    <row r="27" spans="1:16" ht="12.75" customHeight="1" thickBot="1" x14ac:dyDescent="0.25">
      <c r="A27" s="10" t="str">
        <f t="shared" si="0"/>
        <v>IBVS 5898 </v>
      </c>
      <c r="B27" s="9" t="str">
        <f t="shared" si="1"/>
        <v>II</v>
      </c>
      <c r="C27" s="10">
        <f t="shared" si="2"/>
        <v>54752.365599999997</v>
      </c>
      <c r="D27" s="14" t="str">
        <f t="shared" si="3"/>
        <v>vis</v>
      </c>
      <c r="E27" s="55">
        <f>VLOOKUP(C27,Active!C$21:E$973,3,FALSE)</f>
        <v>1760.5322630079506</v>
      </c>
      <c r="F27" s="9" t="s">
        <v>80</v>
      </c>
      <c r="G27" s="14" t="str">
        <f t="shared" si="4"/>
        <v>54752.3656</v>
      </c>
      <c r="H27" s="10">
        <f t="shared" si="5"/>
        <v>2819.5</v>
      </c>
      <c r="I27" s="56" t="s">
        <v>155</v>
      </c>
      <c r="J27" s="57" t="s">
        <v>156</v>
      </c>
      <c r="K27" s="56">
        <v>2819.5</v>
      </c>
      <c r="L27" s="56" t="s">
        <v>157</v>
      </c>
      <c r="M27" s="57" t="s">
        <v>137</v>
      </c>
      <c r="N27" s="57" t="s">
        <v>80</v>
      </c>
      <c r="O27" s="58" t="s">
        <v>158</v>
      </c>
      <c r="P27" s="59" t="s">
        <v>159</v>
      </c>
    </row>
    <row r="28" spans="1:16" ht="12.75" customHeight="1" thickBot="1" x14ac:dyDescent="0.25">
      <c r="A28" s="10" t="str">
        <f t="shared" si="0"/>
        <v>BAVM 203 </v>
      </c>
      <c r="B28" s="9" t="str">
        <f t="shared" si="1"/>
        <v>I</v>
      </c>
      <c r="C28" s="10">
        <f t="shared" si="2"/>
        <v>54757.542200000004</v>
      </c>
      <c r="D28" s="14" t="str">
        <f t="shared" si="3"/>
        <v>vis</v>
      </c>
      <c r="E28" s="55">
        <f>VLOOKUP(C28,Active!C$21:E$973,3,FALSE)</f>
        <v>1767.0137802583508</v>
      </c>
      <c r="F28" s="9" t="s">
        <v>80</v>
      </c>
      <c r="G28" s="14" t="str">
        <f t="shared" si="4"/>
        <v>54757.5422</v>
      </c>
      <c r="H28" s="10">
        <f t="shared" si="5"/>
        <v>2826</v>
      </c>
      <c r="I28" s="56" t="s">
        <v>160</v>
      </c>
      <c r="J28" s="57" t="s">
        <v>161</v>
      </c>
      <c r="K28" s="56">
        <v>2826</v>
      </c>
      <c r="L28" s="56" t="s">
        <v>162</v>
      </c>
      <c r="M28" s="57" t="s">
        <v>137</v>
      </c>
      <c r="N28" s="57" t="s">
        <v>131</v>
      </c>
      <c r="O28" s="58" t="s">
        <v>163</v>
      </c>
      <c r="P28" s="59" t="s">
        <v>68</v>
      </c>
    </row>
    <row r="29" spans="1:16" ht="12.75" customHeight="1" thickBot="1" x14ac:dyDescent="0.25">
      <c r="A29" s="10" t="str">
        <f t="shared" si="0"/>
        <v>IBVS 5898 </v>
      </c>
      <c r="B29" s="9" t="str">
        <f t="shared" si="1"/>
        <v>I</v>
      </c>
      <c r="C29" s="10">
        <f t="shared" si="2"/>
        <v>54774.311300000001</v>
      </c>
      <c r="D29" s="14" t="str">
        <f t="shared" si="3"/>
        <v>vis</v>
      </c>
      <c r="E29" s="55">
        <f>VLOOKUP(C29,Active!C$21:E$973,3,FALSE)</f>
        <v>1788.0100347349455</v>
      </c>
      <c r="F29" s="9" t="s">
        <v>80</v>
      </c>
      <c r="G29" s="14" t="str">
        <f t="shared" si="4"/>
        <v>54774.3113</v>
      </c>
      <c r="H29" s="10">
        <f t="shared" si="5"/>
        <v>2847</v>
      </c>
      <c r="I29" s="56" t="s">
        <v>164</v>
      </c>
      <c r="J29" s="57" t="s">
        <v>165</v>
      </c>
      <c r="K29" s="56">
        <v>2847</v>
      </c>
      <c r="L29" s="56" t="s">
        <v>166</v>
      </c>
      <c r="M29" s="57" t="s">
        <v>137</v>
      </c>
      <c r="N29" s="57" t="s">
        <v>80</v>
      </c>
      <c r="O29" s="58" t="s">
        <v>158</v>
      </c>
      <c r="P29" s="59" t="s">
        <v>159</v>
      </c>
    </row>
    <row r="30" spans="1:16" ht="12.75" customHeight="1" thickBot="1" x14ac:dyDescent="0.25">
      <c r="A30" s="10" t="str">
        <f t="shared" si="0"/>
        <v>IBVS 5938 </v>
      </c>
      <c r="B30" s="9" t="str">
        <f t="shared" si="1"/>
        <v>II</v>
      </c>
      <c r="C30" s="10">
        <f t="shared" si="2"/>
        <v>54846.610800000002</v>
      </c>
      <c r="D30" s="14" t="str">
        <f t="shared" si="3"/>
        <v>vis</v>
      </c>
      <c r="E30" s="55">
        <f>VLOOKUP(C30,Active!C$21:E$973,3,FALSE)</f>
        <v>1878.5347916110322</v>
      </c>
      <c r="F30" s="9" t="s">
        <v>80</v>
      </c>
      <c r="G30" s="14" t="str">
        <f t="shared" si="4"/>
        <v>54846.6108</v>
      </c>
      <c r="H30" s="10">
        <f t="shared" si="5"/>
        <v>2937.5</v>
      </c>
      <c r="I30" s="56" t="s">
        <v>167</v>
      </c>
      <c r="J30" s="57" t="s">
        <v>168</v>
      </c>
      <c r="K30" s="56">
        <v>2937.5</v>
      </c>
      <c r="L30" s="56" t="s">
        <v>169</v>
      </c>
      <c r="M30" s="57" t="s">
        <v>137</v>
      </c>
      <c r="N30" s="57" t="s">
        <v>80</v>
      </c>
      <c r="O30" s="58" t="s">
        <v>170</v>
      </c>
      <c r="P30" s="59" t="s">
        <v>171</v>
      </c>
    </row>
    <row r="31" spans="1:16" ht="12.75" customHeight="1" thickBot="1" x14ac:dyDescent="0.25">
      <c r="A31" s="10" t="str">
        <f t="shared" si="0"/>
        <v>IBVS 5980 </v>
      </c>
      <c r="B31" s="9" t="str">
        <f t="shared" si="1"/>
        <v>I</v>
      </c>
      <c r="C31" s="10">
        <f t="shared" si="2"/>
        <v>55460.374499999998</v>
      </c>
      <c r="D31" s="14" t="str">
        <f t="shared" si="3"/>
        <v>vis</v>
      </c>
      <c r="E31" s="55">
        <f>VLOOKUP(C31,Active!C$21:E$973,3,FALSE)</f>
        <v>2647.0160359054785</v>
      </c>
      <c r="F31" s="9" t="s">
        <v>80</v>
      </c>
      <c r="G31" s="14" t="str">
        <f t="shared" si="4"/>
        <v>55460.3745</v>
      </c>
      <c r="H31" s="10">
        <f t="shared" si="5"/>
        <v>3706</v>
      </c>
      <c r="I31" s="56" t="s">
        <v>172</v>
      </c>
      <c r="J31" s="57" t="s">
        <v>173</v>
      </c>
      <c r="K31" s="56">
        <v>3706</v>
      </c>
      <c r="L31" s="56" t="s">
        <v>174</v>
      </c>
      <c r="M31" s="57" t="s">
        <v>137</v>
      </c>
      <c r="N31" s="57" t="s">
        <v>85</v>
      </c>
      <c r="O31" s="58" t="s">
        <v>158</v>
      </c>
      <c r="P31" s="59" t="s">
        <v>175</v>
      </c>
    </row>
    <row r="32" spans="1:16" ht="12.75" customHeight="1" thickBot="1" x14ac:dyDescent="0.25">
      <c r="A32" s="10" t="str">
        <f t="shared" si="0"/>
        <v>IBVS 5980 </v>
      </c>
      <c r="B32" s="9" t="str">
        <f t="shared" si="1"/>
        <v>I</v>
      </c>
      <c r="C32" s="10">
        <f t="shared" si="2"/>
        <v>55488.3321</v>
      </c>
      <c r="D32" s="14" t="str">
        <f t="shared" si="3"/>
        <v>vis</v>
      </c>
      <c r="E32" s="55">
        <f>VLOOKUP(C32,Active!C$21:E$973,3,FALSE)</f>
        <v>2682.0211872943401</v>
      </c>
      <c r="F32" s="9" t="s">
        <v>80</v>
      </c>
      <c r="G32" s="14" t="str">
        <f t="shared" si="4"/>
        <v>55488.3321</v>
      </c>
      <c r="H32" s="10">
        <f t="shared" si="5"/>
        <v>3741</v>
      </c>
      <c r="I32" s="56" t="s">
        <v>176</v>
      </c>
      <c r="J32" s="57" t="s">
        <v>177</v>
      </c>
      <c r="K32" s="56">
        <v>3741</v>
      </c>
      <c r="L32" s="56" t="s">
        <v>178</v>
      </c>
      <c r="M32" s="57" t="s">
        <v>137</v>
      </c>
      <c r="N32" s="57" t="s">
        <v>85</v>
      </c>
      <c r="O32" s="58" t="s">
        <v>158</v>
      </c>
      <c r="P32" s="59" t="s">
        <v>175</v>
      </c>
    </row>
    <row r="33" spans="1:16" ht="12.75" customHeight="1" thickBot="1" x14ac:dyDescent="0.25">
      <c r="A33" s="10" t="str">
        <f t="shared" si="0"/>
        <v>OEJV 0160 </v>
      </c>
      <c r="B33" s="9" t="str">
        <f t="shared" si="1"/>
        <v>I</v>
      </c>
      <c r="C33" s="10">
        <f t="shared" si="2"/>
        <v>55833.359929999999</v>
      </c>
      <c r="D33" s="14" t="str">
        <f t="shared" si="3"/>
        <v>vis</v>
      </c>
      <c r="E33" s="55">
        <f>VLOOKUP(C33,Active!C$21:E$973,3,FALSE)</f>
        <v>3114.0236275080797</v>
      </c>
      <c r="F33" s="9" t="s">
        <v>80</v>
      </c>
      <c r="G33" s="14" t="str">
        <f t="shared" si="4"/>
        <v>55833.35993</v>
      </c>
      <c r="H33" s="10">
        <f t="shared" si="5"/>
        <v>4173</v>
      </c>
      <c r="I33" s="56" t="s">
        <v>179</v>
      </c>
      <c r="J33" s="57" t="s">
        <v>180</v>
      </c>
      <c r="K33" s="56">
        <v>4173</v>
      </c>
      <c r="L33" s="56" t="s">
        <v>181</v>
      </c>
      <c r="M33" s="57" t="s">
        <v>137</v>
      </c>
      <c r="N33" s="57" t="s">
        <v>80</v>
      </c>
      <c r="O33" s="58" t="s">
        <v>182</v>
      </c>
      <c r="P33" s="59" t="s">
        <v>183</v>
      </c>
    </row>
    <row r="34" spans="1:16" ht="12.75" customHeight="1" thickBot="1" x14ac:dyDescent="0.25">
      <c r="A34" s="10" t="str">
        <f t="shared" si="0"/>
        <v>IBVS 6044 </v>
      </c>
      <c r="B34" s="9" t="str">
        <f t="shared" si="1"/>
        <v>II</v>
      </c>
      <c r="C34" s="10">
        <f t="shared" si="2"/>
        <v>56220.328600000001</v>
      </c>
      <c r="D34" s="14" t="str">
        <f t="shared" si="3"/>
        <v>vis</v>
      </c>
      <c r="E34" s="55">
        <f>VLOOKUP(C34,Active!C$21:E$973,3,FALSE)</f>
        <v>3598.5393540402461</v>
      </c>
      <c r="F34" s="9" t="s">
        <v>80</v>
      </c>
      <c r="G34" s="14" t="str">
        <f t="shared" si="4"/>
        <v>56220.3286</v>
      </c>
      <c r="H34" s="10">
        <f t="shared" si="5"/>
        <v>4657.5</v>
      </c>
      <c r="I34" s="56" t="s">
        <v>184</v>
      </c>
      <c r="J34" s="57" t="s">
        <v>185</v>
      </c>
      <c r="K34" s="56">
        <v>4657.5</v>
      </c>
      <c r="L34" s="56" t="s">
        <v>186</v>
      </c>
      <c r="M34" s="57" t="s">
        <v>137</v>
      </c>
      <c r="N34" s="57" t="s">
        <v>80</v>
      </c>
      <c r="O34" s="58" t="s">
        <v>158</v>
      </c>
      <c r="P34" s="59" t="s">
        <v>187</v>
      </c>
    </row>
    <row r="35" spans="1:16" ht="12.75" customHeight="1" thickBot="1" x14ac:dyDescent="0.25">
      <c r="A35" s="10" t="str">
        <f t="shared" si="0"/>
        <v>BAVM 239 </v>
      </c>
      <c r="B35" s="9" t="str">
        <f t="shared" si="1"/>
        <v>II</v>
      </c>
      <c r="C35" s="10">
        <f t="shared" si="2"/>
        <v>56965.4905</v>
      </c>
      <c r="D35" s="14" t="str">
        <f t="shared" si="3"/>
        <v>vis</v>
      </c>
      <c r="E35" s="55">
        <f>VLOOKUP(C35,Active!C$21:E$973,3,FALSE)</f>
        <v>4531.5416546207744</v>
      </c>
      <c r="F35" s="9" t="s">
        <v>80</v>
      </c>
      <c r="G35" s="14" t="str">
        <f t="shared" si="4"/>
        <v>56965.4905</v>
      </c>
      <c r="H35" s="10">
        <f t="shared" si="5"/>
        <v>5590.5</v>
      </c>
      <c r="I35" s="56" t="s">
        <v>188</v>
      </c>
      <c r="J35" s="57" t="s">
        <v>189</v>
      </c>
      <c r="K35" s="56">
        <v>5590.5</v>
      </c>
      <c r="L35" s="56" t="s">
        <v>190</v>
      </c>
      <c r="M35" s="57" t="s">
        <v>137</v>
      </c>
      <c r="N35" s="57" t="s">
        <v>191</v>
      </c>
      <c r="O35" s="58" t="s">
        <v>192</v>
      </c>
      <c r="P35" s="59" t="s">
        <v>193</v>
      </c>
    </row>
    <row r="36" spans="1:16" x14ac:dyDescent="0.2">
      <c r="B36" s="9"/>
      <c r="F36" s="9"/>
    </row>
    <row r="37" spans="1:16" x14ac:dyDescent="0.2">
      <c r="B37" s="9"/>
      <c r="F37" s="9"/>
    </row>
    <row r="38" spans="1:16" x14ac:dyDescent="0.2">
      <c r="B38" s="9"/>
      <c r="F38" s="9"/>
    </row>
    <row r="39" spans="1:16" x14ac:dyDescent="0.2">
      <c r="B39" s="9"/>
      <c r="F39" s="9"/>
    </row>
    <row r="40" spans="1:16" x14ac:dyDescent="0.2">
      <c r="B40" s="9"/>
      <c r="F40" s="9"/>
    </row>
    <row r="41" spans="1:16" x14ac:dyDescent="0.2">
      <c r="B41" s="9"/>
      <c r="F41" s="9"/>
    </row>
    <row r="42" spans="1:16" x14ac:dyDescent="0.2">
      <c r="B42" s="9"/>
      <c r="F42" s="9"/>
    </row>
    <row r="43" spans="1:16" x14ac:dyDescent="0.2">
      <c r="B43" s="9"/>
      <c r="F43" s="9"/>
    </row>
    <row r="44" spans="1:16" x14ac:dyDescent="0.2">
      <c r="B44" s="9"/>
      <c r="F44" s="9"/>
    </row>
    <row r="45" spans="1:16" x14ac:dyDescent="0.2">
      <c r="B45" s="9"/>
      <c r="F45" s="9"/>
    </row>
    <row r="46" spans="1:16" x14ac:dyDescent="0.2">
      <c r="B46" s="9"/>
      <c r="F46" s="9"/>
    </row>
    <row r="47" spans="1:16" x14ac:dyDescent="0.2">
      <c r="B47" s="9"/>
      <c r="F47" s="9"/>
    </row>
    <row r="48" spans="1:16" x14ac:dyDescent="0.2">
      <c r="B48" s="9"/>
      <c r="F48" s="9"/>
    </row>
    <row r="49" spans="2:6" x14ac:dyDescent="0.2">
      <c r="B49" s="9"/>
      <c r="F49" s="9"/>
    </row>
    <row r="50" spans="2:6" x14ac:dyDescent="0.2">
      <c r="B50" s="9"/>
      <c r="F50" s="9"/>
    </row>
    <row r="51" spans="2:6" x14ac:dyDescent="0.2">
      <c r="B51" s="9"/>
      <c r="F51" s="9"/>
    </row>
    <row r="52" spans="2:6" x14ac:dyDescent="0.2">
      <c r="B52" s="9"/>
      <c r="F52" s="9"/>
    </row>
    <row r="53" spans="2:6" x14ac:dyDescent="0.2">
      <c r="B53" s="9"/>
      <c r="F53" s="9"/>
    </row>
    <row r="54" spans="2:6" x14ac:dyDescent="0.2">
      <c r="B54" s="9"/>
      <c r="F54" s="9"/>
    </row>
    <row r="55" spans="2:6" x14ac:dyDescent="0.2">
      <c r="B55" s="9"/>
      <c r="F55" s="9"/>
    </row>
    <row r="56" spans="2:6" x14ac:dyDescent="0.2">
      <c r="B56" s="9"/>
      <c r="F56" s="9"/>
    </row>
    <row r="57" spans="2:6" x14ac:dyDescent="0.2">
      <c r="B57" s="9"/>
      <c r="F57" s="9"/>
    </row>
    <row r="58" spans="2:6" x14ac:dyDescent="0.2">
      <c r="B58" s="9"/>
      <c r="F58" s="9"/>
    </row>
    <row r="59" spans="2:6" x14ac:dyDescent="0.2">
      <c r="B59" s="9"/>
      <c r="F59" s="9"/>
    </row>
    <row r="60" spans="2:6" x14ac:dyDescent="0.2">
      <c r="B60" s="9"/>
      <c r="F60" s="9"/>
    </row>
    <row r="61" spans="2:6" x14ac:dyDescent="0.2">
      <c r="B61" s="9"/>
      <c r="F61" s="9"/>
    </row>
    <row r="62" spans="2:6" x14ac:dyDescent="0.2">
      <c r="B62" s="9"/>
      <c r="F62" s="9"/>
    </row>
    <row r="63" spans="2:6" x14ac:dyDescent="0.2">
      <c r="B63" s="9"/>
      <c r="F63" s="9"/>
    </row>
    <row r="64" spans="2:6" x14ac:dyDescent="0.2">
      <c r="B64" s="9"/>
      <c r="F64" s="9"/>
    </row>
    <row r="65" spans="2:6" x14ac:dyDescent="0.2">
      <c r="B65" s="9"/>
      <c r="F65" s="9"/>
    </row>
    <row r="66" spans="2:6" x14ac:dyDescent="0.2">
      <c r="B66" s="9"/>
      <c r="F66" s="9"/>
    </row>
    <row r="67" spans="2:6" x14ac:dyDescent="0.2">
      <c r="B67" s="9"/>
      <c r="F67" s="9"/>
    </row>
    <row r="68" spans="2:6" x14ac:dyDescent="0.2">
      <c r="B68" s="9"/>
      <c r="F68" s="9"/>
    </row>
    <row r="69" spans="2:6" x14ac:dyDescent="0.2">
      <c r="B69" s="9"/>
      <c r="F69" s="9"/>
    </row>
    <row r="70" spans="2:6" x14ac:dyDescent="0.2">
      <c r="B70" s="9"/>
      <c r="F70" s="9"/>
    </row>
    <row r="71" spans="2:6" x14ac:dyDescent="0.2">
      <c r="B71" s="9"/>
      <c r="F71" s="9"/>
    </row>
    <row r="72" spans="2:6" x14ac:dyDescent="0.2">
      <c r="B72" s="9"/>
      <c r="F72" s="9"/>
    </row>
    <row r="73" spans="2:6" x14ac:dyDescent="0.2">
      <c r="B73" s="9"/>
      <c r="F73" s="9"/>
    </row>
    <row r="74" spans="2:6" x14ac:dyDescent="0.2">
      <c r="B74" s="9"/>
      <c r="F74" s="9"/>
    </row>
    <row r="75" spans="2:6" x14ac:dyDescent="0.2">
      <c r="B75" s="9"/>
      <c r="F75" s="9"/>
    </row>
    <row r="76" spans="2:6" x14ac:dyDescent="0.2">
      <c r="B76" s="9"/>
      <c r="F76" s="9"/>
    </row>
    <row r="77" spans="2:6" x14ac:dyDescent="0.2">
      <c r="B77" s="9"/>
      <c r="F77" s="9"/>
    </row>
    <row r="78" spans="2:6" x14ac:dyDescent="0.2">
      <c r="B78" s="9"/>
      <c r="F78" s="9"/>
    </row>
    <row r="79" spans="2:6" x14ac:dyDescent="0.2">
      <c r="B79" s="9"/>
      <c r="F79" s="9"/>
    </row>
    <row r="80" spans="2:6" x14ac:dyDescent="0.2">
      <c r="B80" s="9"/>
      <c r="F80" s="9"/>
    </row>
    <row r="81" spans="2:6" x14ac:dyDescent="0.2">
      <c r="B81" s="9"/>
      <c r="F81" s="9"/>
    </row>
    <row r="82" spans="2:6" x14ac:dyDescent="0.2">
      <c r="B82" s="9"/>
      <c r="F82" s="9"/>
    </row>
    <row r="83" spans="2:6" x14ac:dyDescent="0.2">
      <c r="B83" s="9"/>
      <c r="F83" s="9"/>
    </row>
    <row r="84" spans="2:6" x14ac:dyDescent="0.2">
      <c r="B84" s="9"/>
      <c r="F84" s="9"/>
    </row>
    <row r="85" spans="2:6" x14ac:dyDescent="0.2">
      <c r="B85" s="9"/>
      <c r="F85" s="9"/>
    </row>
    <row r="86" spans="2:6" x14ac:dyDescent="0.2">
      <c r="B86" s="9"/>
      <c r="F86" s="9"/>
    </row>
    <row r="87" spans="2:6" x14ac:dyDescent="0.2">
      <c r="B87" s="9"/>
      <c r="F87" s="9"/>
    </row>
    <row r="88" spans="2:6" x14ac:dyDescent="0.2">
      <c r="B88" s="9"/>
      <c r="F88" s="9"/>
    </row>
    <row r="89" spans="2:6" x14ac:dyDescent="0.2">
      <c r="B89" s="9"/>
      <c r="F89" s="9"/>
    </row>
    <row r="90" spans="2:6" x14ac:dyDescent="0.2">
      <c r="B90" s="9"/>
      <c r="F90" s="9"/>
    </row>
    <row r="91" spans="2:6" x14ac:dyDescent="0.2">
      <c r="B91" s="9"/>
      <c r="F91" s="9"/>
    </row>
    <row r="92" spans="2:6" x14ac:dyDescent="0.2">
      <c r="B92" s="9"/>
      <c r="F92" s="9"/>
    </row>
    <row r="93" spans="2:6" x14ac:dyDescent="0.2">
      <c r="B93" s="9"/>
      <c r="F93" s="9"/>
    </row>
    <row r="94" spans="2:6" x14ac:dyDescent="0.2">
      <c r="B94" s="9"/>
      <c r="F94" s="9"/>
    </row>
    <row r="95" spans="2:6" x14ac:dyDescent="0.2">
      <c r="B95" s="9"/>
      <c r="F95" s="9"/>
    </row>
    <row r="96" spans="2:6" x14ac:dyDescent="0.2">
      <c r="B96" s="9"/>
      <c r="F96" s="9"/>
    </row>
    <row r="97" spans="2:6" x14ac:dyDescent="0.2">
      <c r="B97" s="9"/>
      <c r="F97" s="9"/>
    </row>
    <row r="98" spans="2:6" x14ac:dyDescent="0.2">
      <c r="B98" s="9"/>
      <c r="F98" s="9"/>
    </row>
    <row r="99" spans="2:6" x14ac:dyDescent="0.2">
      <c r="B99" s="9"/>
      <c r="F99" s="9"/>
    </row>
    <row r="100" spans="2:6" x14ac:dyDescent="0.2">
      <c r="B100" s="9"/>
      <c r="F100" s="9"/>
    </row>
    <row r="101" spans="2:6" x14ac:dyDescent="0.2">
      <c r="B101" s="9"/>
      <c r="F101" s="9"/>
    </row>
    <row r="102" spans="2:6" x14ac:dyDescent="0.2">
      <c r="B102" s="9"/>
      <c r="F102" s="9"/>
    </row>
    <row r="103" spans="2:6" x14ac:dyDescent="0.2">
      <c r="B103" s="9"/>
      <c r="F103" s="9"/>
    </row>
    <row r="104" spans="2:6" x14ac:dyDescent="0.2">
      <c r="B104" s="9"/>
      <c r="F104" s="9"/>
    </row>
    <row r="105" spans="2:6" x14ac:dyDescent="0.2">
      <c r="B105" s="9"/>
      <c r="F105" s="9"/>
    </row>
    <row r="106" spans="2:6" x14ac:dyDescent="0.2">
      <c r="B106" s="9"/>
      <c r="F106" s="9"/>
    </row>
    <row r="107" spans="2:6" x14ac:dyDescent="0.2">
      <c r="B107" s="9"/>
      <c r="F107" s="9"/>
    </row>
    <row r="108" spans="2:6" x14ac:dyDescent="0.2">
      <c r="B108" s="9"/>
      <c r="F108" s="9"/>
    </row>
    <row r="109" spans="2:6" x14ac:dyDescent="0.2">
      <c r="B109" s="9"/>
      <c r="F109" s="9"/>
    </row>
    <row r="110" spans="2:6" x14ac:dyDescent="0.2">
      <c r="B110" s="9"/>
      <c r="F110" s="9"/>
    </row>
    <row r="111" spans="2:6" x14ac:dyDescent="0.2">
      <c r="B111" s="9"/>
      <c r="F111" s="9"/>
    </row>
    <row r="112" spans="2:6" x14ac:dyDescent="0.2">
      <c r="B112" s="9"/>
      <c r="F112" s="9"/>
    </row>
    <row r="113" spans="2:6" x14ac:dyDescent="0.2">
      <c r="B113" s="9"/>
      <c r="F113" s="9"/>
    </row>
    <row r="114" spans="2:6" x14ac:dyDescent="0.2">
      <c r="B114" s="9"/>
      <c r="F114" s="9"/>
    </row>
    <row r="115" spans="2:6" x14ac:dyDescent="0.2">
      <c r="B115" s="9"/>
      <c r="F115" s="9"/>
    </row>
    <row r="116" spans="2:6" x14ac:dyDescent="0.2">
      <c r="B116" s="9"/>
      <c r="F116" s="9"/>
    </row>
    <row r="117" spans="2:6" x14ac:dyDescent="0.2">
      <c r="B117" s="9"/>
      <c r="F117" s="9"/>
    </row>
    <row r="118" spans="2:6" x14ac:dyDescent="0.2">
      <c r="B118" s="9"/>
      <c r="F118" s="9"/>
    </row>
    <row r="119" spans="2:6" x14ac:dyDescent="0.2">
      <c r="B119" s="9"/>
      <c r="F119" s="9"/>
    </row>
    <row r="120" spans="2:6" x14ac:dyDescent="0.2">
      <c r="B120" s="9"/>
      <c r="F120" s="9"/>
    </row>
    <row r="121" spans="2:6" x14ac:dyDescent="0.2">
      <c r="B121" s="9"/>
      <c r="F121" s="9"/>
    </row>
    <row r="122" spans="2:6" x14ac:dyDescent="0.2">
      <c r="B122" s="9"/>
      <c r="F122" s="9"/>
    </row>
    <row r="123" spans="2:6" x14ac:dyDescent="0.2">
      <c r="B123" s="9"/>
      <c r="F123" s="9"/>
    </row>
    <row r="124" spans="2:6" x14ac:dyDescent="0.2">
      <c r="B124" s="9"/>
      <c r="F124" s="9"/>
    </row>
    <row r="125" spans="2:6" x14ac:dyDescent="0.2">
      <c r="B125" s="9"/>
      <c r="F125" s="9"/>
    </row>
    <row r="126" spans="2:6" x14ac:dyDescent="0.2">
      <c r="B126" s="9"/>
      <c r="F126" s="9"/>
    </row>
    <row r="127" spans="2:6" x14ac:dyDescent="0.2">
      <c r="B127" s="9"/>
      <c r="F127" s="9"/>
    </row>
    <row r="128" spans="2: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</sheetData>
  <phoneticPr fontId="8" type="noConversion"/>
  <hyperlinks>
    <hyperlink ref="A3" r:id="rId1" xr:uid="{00000000-0004-0000-0100-000000000000}"/>
    <hyperlink ref="P11" r:id="rId2" display="http://www.konkoly.hu/cgi-bin/IBVS?4855" xr:uid="{00000000-0004-0000-0100-000001000000}"/>
    <hyperlink ref="P12" r:id="rId3" display="http://www.konkoly.hu/cgi-bin/IBVS?4855" xr:uid="{00000000-0004-0000-0100-000002000000}"/>
    <hyperlink ref="P13" r:id="rId4" display="http://www.konkoly.hu/cgi-bin/IBVS?4855" xr:uid="{00000000-0004-0000-0100-000003000000}"/>
    <hyperlink ref="P14" r:id="rId5" display="http://www.konkoly.hu/cgi-bin/IBVS?5407" xr:uid="{00000000-0004-0000-0100-000004000000}"/>
    <hyperlink ref="P15" r:id="rId6" display="http://www.konkoly.hu/cgi-bin/IBVS?5623" xr:uid="{00000000-0004-0000-0100-000005000000}"/>
    <hyperlink ref="P16" r:id="rId7" display="http://www.konkoly.hu/cgi-bin/IBVS?5606" xr:uid="{00000000-0004-0000-0100-000006000000}"/>
    <hyperlink ref="P17" r:id="rId8" display="http://www.konkoly.hu/cgi-bin/IBVS?5623" xr:uid="{00000000-0004-0000-0100-000007000000}"/>
    <hyperlink ref="P18" r:id="rId9" display="http://www.konkoly.hu/cgi-bin/IBVS?5623" xr:uid="{00000000-0004-0000-0100-000008000000}"/>
    <hyperlink ref="P19" r:id="rId10" display="http://www.konkoly.hu/cgi-bin/IBVS?5623" xr:uid="{00000000-0004-0000-0100-000009000000}"/>
    <hyperlink ref="P20" r:id="rId11" display="http://www.konkoly.hu/cgi-bin/IBVS?5649" xr:uid="{00000000-0004-0000-0100-00000A000000}"/>
    <hyperlink ref="P21" r:id="rId12" display="http://www.konkoly.hu/cgi-bin/IBVS?5649" xr:uid="{00000000-0004-0000-0100-00000B000000}"/>
    <hyperlink ref="P22" r:id="rId13" display="http://www.bav-astro.de/sfs/BAVM_link.php?BAVMnr=173" xr:uid="{00000000-0004-0000-0100-00000C000000}"/>
    <hyperlink ref="P23" r:id="rId14" display="http://www.bav-astro.de/sfs/BAVM_link.php?BAVMnr=178" xr:uid="{00000000-0004-0000-0100-00000D000000}"/>
    <hyperlink ref="P25" r:id="rId15" display="http://www.konkoly.hu/cgi-bin/IBVS?5760" xr:uid="{00000000-0004-0000-0100-00000E000000}"/>
    <hyperlink ref="P26" r:id="rId16" display="http://www.konkoly.hu/cgi-bin/IBVS?5736" xr:uid="{00000000-0004-0000-0100-00000F000000}"/>
    <hyperlink ref="P27" r:id="rId17" display="http://www.konkoly.hu/cgi-bin/IBVS?5898" xr:uid="{00000000-0004-0000-0100-000010000000}"/>
    <hyperlink ref="P28" r:id="rId18" display="http://www.bav-astro.de/sfs/BAVM_link.php?BAVMnr=203" xr:uid="{00000000-0004-0000-0100-000011000000}"/>
    <hyperlink ref="P29" r:id="rId19" display="http://www.konkoly.hu/cgi-bin/IBVS?5898" xr:uid="{00000000-0004-0000-0100-000012000000}"/>
    <hyperlink ref="P30" r:id="rId20" display="http://www.konkoly.hu/cgi-bin/IBVS?5938" xr:uid="{00000000-0004-0000-0100-000013000000}"/>
    <hyperlink ref="P31" r:id="rId21" display="http://www.konkoly.hu/cgi-bin/IBVS?5980" xr:uid="{00000000-0004-0000-0100-000014000000}"/>
    <hyperlink ref="P32" r:id="rId22" display="http://www.konkoly.hu/cgi-bin/IBVS?5980" xr:uid="{00000000-0004-0000-0100-000015000000}"/>
    <hyperlink ref="P33" r:id="rId23" display="http://var.astro.cz/oejv/issues/oejv0160.pdf" xr:uid="{00000000-0004-0000-0100-000016000000}"/>
    <hyperlink ref="P34" r:id="rId24" display="http://www.konkoly.hu/cgi-bin/IBVS?6044" xr:uid="{00000000-0004-0000-0100-000017000000}"/>
    <hyperlink ref="P35" r:id="rId25" display="http://www.bav-astro.de/sfs/BAVM_link.php?BAVMnr=239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2023-08-07T00:32:55Z</dcterms:modified>
</cp:coreProperties>
</file>