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8CFCF81-704A-4F61-90E1-8777E1546C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6" i="1" l="1"/>
  <c r="F46" i="1" s="1"/>
  <c r="G46" i="1" s="1"/>
  <c r="K46" i="1" s="1"/>
  <c r="Q46" i="1"/>
  <c r="E47" i="1"/>
  <c r="F47" i="1"/>
  <c r="G47" i="1" s="1"/>
  <c r="K47" i="1" s="1"/>
  <c r="Q47" i="1"/>
  <c r="E48" i="1"/>
  <c r="F48" i="1"/>
  <c r="G48" i="1" s="1"/>
  <c r="K48" i="1" s="1"/>
  <c r="Q48" i="1"/>
  <c r="E49" i="1"/>
  <c r="F49" i="1"/>
  <c r="G49" i="1" s="1"/>
  <c r="K49" i="1" s="1"/>
  <c r="Q49" i="1"/>
  <c r="E50" i="1"/>
  <c r="F50" i="1" s="1"/>
  <c r="G50" i="1" s="1"/>
  <c r="K50" i="1" s="1"/>
  <c r="Q50" i="1"/>
  <c r="E51" i="1"/>
  <c r="F51" i="1"/>
  <c r="G51" i="1" s="1"/>
  <c r="K51" i="1" s="1"/>
  <c r="Q51" i="1"/>
  <c r="E52" i="1"/>
  <c r="F52" i="1"/>
  <c r="G52" i="1" s="1"/>
  <c r="K52" i="1" s="1"/>
  <c r="Q52" i="1"/>
  <c r="E53" i="1"/>
  <c r="F53" i="1"/>
  <c r="G53" i="1" s="1"/>
  <c r="K53" i="1" s="1"/>
  <c r="Q53" i="1"/>
  <c r="E54" i="1"/>
  <c r="F54" i="1" s="1"/>
  <c r="G54" i="1" s="1"/>
  <c r="K54" i="1" s="1"/>
  <c r="Q54" i="1"/>
  <c r="E55" i="1"/>
  <c r="F55" i="1"/>
  <c r="G55" i="1" s="1"/>
  <c r="K55" i="1" s="1"/>
  <c r="Q55" i="1"/>
  <c r="E56" i="1"/>
  <c r="F56" i="1"/>
  <c r="G56" i="1" s="1"/>
  <c r="K56" i="1" s="1"/>
  <c r="Q56" i="1"/>
  <c r="E57" i="1"/>
  <c r="F57" i="1"/>
  <c r="G57" i="1" s="1"/>
  <c r="K57" i="1" s="1"/>
  <c r="Q57" i="1"/>
  <c r="E58" i="1"/>
  <c r="F58" i="1" s="1"/>
  <c r="G58" i="1" s="1"/>
  <c r="K58" i="1" s="1"/>
  <c r="Q58" i="1"/>
  <c r="E42" i="1"/>
  <c r="F42" i="1"/>
  <c r="G42" i="1"/>
  <c r="K42" i="1"/>
  <c r="Q42" i="1"/>
  <c r="E43" i="1"/>
  <c r="F43" i="1"/>
  <c r="G43" i="1"/>
  <c r="K43" i="1"/>
  <c r="Q43" i="1"/>
  <c r="E44" i="1"/>
  <c r="F44" i="1"/>
  <c r="G44" i="1"/>
  <c r="K44" i="1"/>
  <c r="Q44" i="1"/>
  <c r="E45" i="1"/>
  <c r="F45" i="1"/>
  <c r="G45" i="1"/>
  <c r="K45" i="1"/>
  <c r="Q45" i="1"/>
  <c r="E40" i="1"/>
  <c r="F40" i="1"/>
  <c r="G40" i="1"/>
  <c r="K40" i="1"/>
  <c r="E41" i="1"/>
  <c r="F41" i="1"/>
  <c r="G41" i="1"/>
  <c r="K41" i="1"/>
  <c r="F26" i="1"/>
  <c r="G26" i="1"/>
  <c r="K26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J38" i="1"/>
  <c r="E39" i="1"/>
  <c r="F39" i="1"/>
  <c r="G39" i="1"/>
  <c r="K39" i="1"/>
  <c r="D9" i="1"/>
  <c r="C9" i="1"/>
  <c r="Q40" i="1"/>
  <c r="Q41" i="1"/>
  <c r="Q39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E24" i="2"/>
  <c r="F30" i="1"/>
  <c r="G30" i="1"/>
  <c r="K30" i="1"/>
  <c r="E31" i="1"/>
  <c r="F31" i="1"/>
  <c r="G31" i="1"/>
  <c r="K31" i="1"/>
  <c r="E32" i="1"/>
  <c r="E15" i="2"/>
  <c r="F32" i="1"/>
  <c r="G32" i="1"/>
  <c r="K32" i="1"/>
  <c r="E33" i="1"/>
  <c r="F33" i="1"/>
  <c r="G33" i="1"/>
  <c r="K33" i="1"/>
  <c r="E34" i="1"/>
  <c r="F34" i="1"/>
  <c r="G34" i="1"/>
  <c r="K34" i="1"/>
  <c r="E21" i="1"/>
  <c r="F21" i="1"/>
  <c r="G21" i="1"/>
  <c r="K21" i="1"/>
  <c r="Q29" i="1"/>
  <c r="Q30" i="1"/>
  <c r="Q31" i="1"/>
  <c r="G21" i="2"/>
  <c r="C21" i="2"/>
  <c r="E21" i="2"/>
  <c r="G11" i="2"/>
  <c r="C11" i="2"/>
  <c r="E11" i="2"/>
  <c r="G22" i="2"/>
  <c r="C22" i="2"/>
  <c r="E22" i="2"/>
  <c r="G12" i="2"/>
  <c r="C12" i="2"/>
  <c r="E12" i="2"/>
  <c r="G13" i="2"/>
  <c r="C13" i="2"/>
  <c r="G14" i="2"/>
  <c r="C14" i="2"/>
  <c r="E14" i="2"/>
  <c r="G23" i="2"/>
  <c r="C23" i="2"/>
  <c r="E23" i="2"/>
  <c r="G24" i="2"/>
  <c r="C24" i="2"/>
  <c r="G25" i="2"/>
  <c r="C25" i="2"/>
  <c r="E25" i="2"/>
  <c r="G15" i="2"/>
  <c r="C15" i="2"/>
  <c r="G16" i="2"/>
  <c r="C16" i="2"/>
  <c r="E16" i="2"/>
  <c r="G17" i="2"/>
  <c r="C17" i="2"/>
  <c r="E17" i="2"/>
  <c r="G18" i="2"/>
  <c r="C18" i="2"/>
  <c r="E18" i="2"/>
  <c r="G19" i="2"/>
  <c r="C19" i="2"/>
  <c r="E19" i="2"/>
  <c r="G20" i="2"/>
  <c r="C20" i="2"/>
  <c r="E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25" i="2"/>
  <c r="B25" i="2"/>
  <c r="D25" i="2"/>
  <c r="A25" i="2"/>
  <c r="H24" i="2"/>
  <c r="D24" i="2"/>
  <c r="B24" i="2"/>
  <c r="A24" i="2"/>
  <c r="H23" i="2"/>
  <c r="B23" i="2"/>
  <c r="D23" i="2"/>
  <c r="A23" i="2"/>
  <c r="H14" i="2"/>
  <c r="D14" i="2"/>
  <c r="B14" i="2"/>
  <c r="A14" i="2"/>
  <c r="H13" i="2"/>
  <c r="B13" i="2"/>
  <c r="D13" i="2"/>
  <c r="A13" i="2"/>
  <c r="H12" i="2"/>
  <c r="D12" i="2"/>
  <c r="B12" i="2"/>
  <c r="A12" i="2"/>
  <c r="H22" i="2"/>
  <c r="B22" i="2"/>
  <c r="D22" i="2"/>
  <c r="A22" i="2"/>
  <c r="H11" i="2"/>
  <c r="D11" i="2"/>
  <c r="B11" i="2"/>
  <c r="A11" i="2"/>
  <c r="H21" i="2"/>
  <c r="B21" i="2"/>
  <c r="D21" i="2"/>
  <c r="A21" i="2"/>
  <c r="H20" i="2"/>
  <c r="D20" i="2"/>
  <c r="B20" i="2"/>
  <c r="A20" i="2"/>
  <c r="Q38" i="1"/>
  <c r="Q36" i="1"/>
  <c r="Q37" i="1"/>
  <c r="Q32" i="1"/>
  <c r="Q33" i="1"/>
  <c r="Q34" i="1"/>
  <c r="Q35" i="1"/>
  <c r="Q28" i="1"/>
  <c r="F16" i="1"/>
  <c r="F17" i="1" s="1"/>
  <c r="C17" i="1"/>
  <c r="Q25" i="1"/>
  <c r="Q26" i="1"/>
  <c r="Q27" i="1"/>
  <c r="Q22" i="1"/>
  <c r="Q23" i="1"/>
  <c r="Q21" i="1"/>
  <c r="Q24" i="1"/>
  <c r="E13" i="2"/>
  <c r="C11" i="1"/>
  <c r="C12" i="1"/>
  <c r="O48" i="1" l="1"/>
  <c r="O52" i="1"/>
  <c r="O56" i="1"/>
  <c r="O47" i="1"/>
  <c r="O51" i="1"/>
  <c r="O55" i="1"/>
  <c r="O46" i="1"/>
  <c r="O50" i="1"/>
  <c r="O54" i="1"/>
  <c r="O58" i="1"/>
  <c r="O49" i="1"/>
  <c r="O53" i="1"/>
  <c r="O57" i="1"/>
  <c r="C16" i="1"/>
  <c r="D18" i="1" s="1"/>
  <c r="O25" i="1"/>
  <c r="O39" i="1"/>
  <c r="O24" i="1"/>
  <c r="O34" i="1"/>
  <c r="O30" i="1"/>
  <c r="O23" i="1"/>
  <c r="O22" i="1"/>
  <c r="O32" i="1"/>
  <c r="O41" i="1"/>
  <c r="O29" i="1"/>
  <c r="O31" i="1"/>
  <c r="O28" i="1"/>
  <c r="O36" i="1"/>
  <c r="O43" i="1"/>
  <c r="O27" i="1"/>
  <c r="O37" i="1"/>
  <c r="O40" i="1"/>
  <c r="O33" i="1"/>
  <c r="O35" i="1"/>
  <c r="O45" i="1"/>
  <c r="O26" i="1"/>
  <c r="O21" i="1"/>
  <c r="O42" i="1"/>
  <c r="O44" i="1"/>
  <c r="C15" i="1"/>
  <c r="O38" i="1"/>
  <c r="F18" i="1" l="1"/>
  <c r="F19" i="1" s="1"/>
  <c r="C18" i="1"/>
</calcChain>
</file>

<file path=xl/sharedStrings.xml><?xml version="1.0" encoding="utf-8"?>
<sst xmlns="http://schemas.openxmlformats.org/spreadsheetml/2006/main" count="267" uniqueCount="136">
  <si>
    <t>VSB-64</t>
  </si>
  <si>
    <t>0.0001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</si>
  <si>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</si>
  <si>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</si>
  <si>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</si>
  <si>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</si>
  <si>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</si>
  <si>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</si>
  <si>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</si>
  <si>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</si>
  <si>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</si>
  <si>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</si>
  <si>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</si>
  <si>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</si>
  <si>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</si>
  <si>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</si>
  <si>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</si>
  <si>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</si>
  <si>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</si>
  <si>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</si>
  <si>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</si>
  <si>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</si>
  <si>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</si>
  <si>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</si>
  <si>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</si>
  <si>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</si>
  <si>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</si>
  <si>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</si>
  <si>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</si>
  <si>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</si>
  <si>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</si>
  <si>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</si>
  <si>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</si>
  <si>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</si>
  <si>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</si>
  <si>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</si>
  <si>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</si>
  <si>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 xml:space="preserve">V0449 And / GSC 3281-2158 </t>
  </si>
  <si>
    <t>EW</t>
  </si>
  <si>
    <t>And_V0449.xls</t>
  </si>
  <si>
    <t>not avail.</t>
  </si>
  <si>
    <t>IBVS 5871</t>
  </si>
  <si>
    <t>II</t>
  </si>
  <si>
    <t>VSX</t>
  </si>
  <si>
    <t>IBVS ??</t>
  </si>
  <si>
    <t>2008OEJV...94....1B</t>
  </si>
  <si>
    <t>I</t>
  </si>
  <si>
    <t>IBVS 5960</t>
  </si>
  <si>
    <t>OEJV 0137</t>
  </si>
  <si>
    <t>Add cycle</t>
  </si>
  <si>
    <t>Old Cycle</t>
  </si>
  <si>
    <t>IBVS 6011</t>
  </si>
  <si>
    <t>IBVS 6042</t>
  </si>
  <si>
    <t>OEJV 0160</t>
  </si>
  <si>
    <t>IBVS 6152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</si>
  <si>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</si>
  <si>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</si>
  <si>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</si>
  <si>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</si>
  <si>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</si>
  <si>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</si>
  <si>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</si>
  <si>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</si>
  <si>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</si>
  <si>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</si>
  <si>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</si>
  <si>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</si>
  <si>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2454384.5254 </t>
  </si>
  <si>
    <t> 11.10.2007 00:36 </t>
  </si>
  <si>
    <t> 0.0543 </t>
  </si>
  <si>
    <t>C </t>
  </si>
  <si>
    <t>R</t>
  </si>
  <si>
    <t> R.Uhlar </t>
  </si>
  <si>
    <t>OEJV 0094 </t>
  </si>
  <si>
    <t>2454387.5698 </t>
  </si>
  <si>
    <t> 14.10.2007 01:40 </t>
  </si>
  <si>
    <t> 0.0520 </t>
  </si>
  <si>
    <t>2454821.7120 </t>
  </si>
  <si>
    <t> 21.12.2008 05:05 </t>
  </si>
  <si>
    <t> 0.0294 </t>
  </si>
  <si>
    <t> R.Diethelm </t>
  </si>
  <si>
    <t> ISBV 5871 </t>
  </si>
  <si>
    <t>2455515.3291 </t>
  </si>
  <si>
    <t> 14.11.2010 19:53 </t>
  </si>
  <si>
    <t> -0.0014 </t>
  </si>
  <si>
    <t> J.Zahajský </t>
  </si>
  <si>
    <t>OEJV 0137 </t>
  </si>
  <si>
    <t>2455532.5959 </t>
  </si>
  <si>
    <t> 02.12.2010 02:18 </t>
  </si>
  <si>
    <t> 0.0003 </t>
  </si>
  <si>
    <t> ISBV 5960 </t>
  </si>
  <si>
    <t>2455532.7638 </t>
  </si>
  <si>
    <t> 02.12.2010 06:19 </t>
  </si>
  <si>
    <t> -0.0010 </t>
  </si>
  <si>
    <t>2455843.8630 </t>
  </si>
  <si>
    <t> 09.10.2011 08:42 </t>
  </si>
  <si>
    <t> -0.0109 </t>
  </si>
  <si>
    <t>ns</t>
  </si>
  <si>
    <t> ISBV 6011 </t>
  </si>
  <si>
    <t>2455850.2920 </t>
  </si>
  <si>
    <t> 15.10.2011 19:00 </t>
  </si>
  <si>
    <t> -0.0140 </t>
  </si>
  <si>
    <t>-I</t>
  </si>
  <si>
    <t> F.Agerer </t>
  </si>
  <si>
    <t>BAVM 225 </t>
  </si>
  <si>
    <t>2455850.4611 </t>
  </si>
  <si>
    <t> 15.10.2011 23:03 </t>
  </si>
  <si>
    <t>13232.5</t>
  </si>
  <si>
    <t> -0.0141 </t>
  </si>
  <si>
    <t>2455850.6304 </t>
  </si>
  <si>
    <t> 16.10.2011 03:07 </t>
  </si>
  <si>
    <t>13233</t>
  </si>
  <si>
    <t>2456155.46365 </t>
  </si>
  <si>
    <t> 15.08.2012 23:07 </t>
  </si>
  <si>
    <t>14133.5</t>
  </si>
  <si>
    <t> -0.02711 </t>
  </si>
  <si>
    <t> M.Vraš?ak </t>
  </si>
  <si>
    <t>OEJV 0160 </t>
  </si>
  <si>
    <t>2456155.46425 </t>
  </si>
  <si>
    <t> 15.08.2012 23:08 </t>
  </si>
  <si>
    <t> -0.02651 </t>
  </si>
  <si>
    <t>2456202.8563 </t>
  </si>
  <si>
    <t> 02.10.2012 08:33 </t>
  </si>
  <si>
    <t>14273.5</t>
  </si>
  <si>
    <t> -0.0287 </t>
  </si>
  <si>
    <t>IBVS 6042 </t>
  </si>
  <si>
    <t>2456932.3542 </t>
  </si>
  <si>
    <t> 01.10.2014 20:30 </t>
  </si>
  <si>
    <t>16428.5</t>
  </si>
  <si>
    <t> -0.0629 </t>
  </si>
  <si>
    <t>o</t>
  </si>
  <si>
    <t> W.Moschner &amp; P.Frank </t>
  </si>
  <si>
    <t>BAVM 239 </t>
  </si>
  <si>
    <t>RHN 2021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</si>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</sst>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 applyAlignment="1"/>
    <xf numFmtId="0" fontId="1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165" fontId="34" fillId="0" borderId="0" xfId="42" applyNumberFormat="1" applyFont="1" applyAlignment="1">
      <alignment horizontal="left" vertical="top"/>
    </xf>
    <xf numFmtId="0" fontId="34" fillId="0" borderId="0" xfId="42" applyFont="1" applyAlignment="1">
      <alignment horizontal="left" vertical="top"/>
    </xf>
    <xf numFmtId="0" fontId="9" fillId="25" borderId="0" xfId="0" applyFont="1" applyFill="1" applyAlignment="1"/>
    <xf numFmtId="0" fontId="16" fillId="26" borderId="0" xfId="0" applyFont="1" applyFill="1" applyAlignment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V449 And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2.0000000000000001E-4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2.0000000000000001E-4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-0.5</c:v>
                </c:pt>
                <c:pt idx="1">
                  <c:v>8902</c:v>
                </c:pt>
                <c:pt idx="2">
                  <c:v>8911</c:v>
                </c:pt>
                <c:pt idx="3">
                  <c:v>10193.5</c:v>
                </c:pt>
                <c:pt idx="4">
                  <c:v>12242.5</c:v>
                </c:pt>
                <c:pt idx="5">
                  <c:v>12293.5</c:v>
                </c:pt>
                <c:pt idx="6">
                  <c:v>12294</c:v>
                </c:pt>
                <c:pt idx="7">
                  <c:v>13213</c:v>
                </c:pt>
                <c:pt idx="8">
                  <c:v>13232</c:v>
                </c:pt>
                <c:pt idx="9">
                  <c:v>13232.5</c:v>
                </c:pt>
                <c:pt idx="10">
                  <c:v>13233</c:v>
                </c:pt>
                <c:pt idx="11">
                  <c:v>14133.5</c:v>
                </c:pt>
                <c:pt idx="12">
                  <c:v>14133.5</c:v>
                </c:pt>
                <c:pt idx="13">
                  <c:v>14133.5</c:v>
                </c:pt>
                <c:pt idx="14">
                  <c:v>14273.5</c:v>
                </c:pt>
                <c:pt idx="15">
                  <c:v>16328</c:v>
                </c:pt>
                <c:pt idx="16">
                  <c:v>16328.5</c:v>
                </c:pt>
                <c:pt idx="17">
                  <c:v>16428.5</c:v>
                </c:pt>
                <c:pt idx="18">
                  <c:v>17445.5</c:v>
                </c:pt>
                <c:pt idx="19">
                  <c:v>19766</c:v>
                </c:pt>
                <c:pt idx="20">
                  <c:v>19766.5</c:v>
                </c:pt>
                <c:pt idx="21">
                  <c:v>23125.5</c:v>
                </c:pt>
                <c:pt idx="22">
                  <c:v>23856</c:v>
                </c:pt>
                <c:pt idx="23">
                  <c:v>23882.5</c:v>
                </c:pt>
                <c:pt idx="24">
                  <c:v>24157.5</c:v>
                </c:pt>
                <c:pt idx="25">
                  <c:v>23982.5</c:v>
                </c:pt>
                <c:pt idx="26">
                  <c:v>23983</c:v>
                </c:pt>
                <c:pt idx="27">
                  <c:v>24194.5</c:v>
                </c:pt>
                <c:pt idx="28">
                  <c:v>24195</c:v>
                </c:pt>
                <c:pt idx="29">
                  <c:v>24280.5</c:v>
                </c:pt>
                <c:pt idx="30">
                  <c:v>24295</c:v>
                </c:pt>
                <c:pt idx="31">
                  <c:v>24919.5</c:v>
                </c:pt>
                <c:pt idx="32">
                  <c:v>24981.5</c:v>
                </c:pt>
                <c:pt idx="33">
                  <c:v>25061</c:v>
                </c:pt>
                <c:pt idx="34">
                  <c:v>25146.5</c:v>
                </c:pt>
                <c:pt idx="35">
                  <c:v>25147</c:v>
                </c:pt>
                <c:pt idx="36">
                  <c:v>25293.5</c:v>
                </c:pt>
                <c:pt idx="37">
                  <c:v>25294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C5-4A08-B245-6CF3E16186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2.0000000000000001E-4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2.0000000000000001E-4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-0.5</c:v>
                </c:pt>
                <c:pt idx="1">
                  <c:v>8902</c:v>
                </c:pt>
                <c:pt idx="2">
                  <c:v>8911</c:v>
                </c:pt>
                <c:pt idx="3">
                  <c:v>10193.5</c:v>
                </c:pt>
                <c:pt idx="4">
                  <c:v>12242.5</c:v>
                </c:pt>
                <c:pt idx="5">
                  <c:v>12293.5</c:v>
                </c:pt>
                <c:pt idx="6">
                  <c:v>12294</c:v>
                </c:pt>
                <c:pt idx="7">
                  <c:v>13213</c:v>
                </c:pt>
                <c:pt idx="8">
                  <c:v>13232</c:v>
                </c:pt>
                <c:pt idx="9">
                  <c:v>13232.5</c:v>
                </c:pt>
                <c:pt idx="10">
                  <c:v>13233</c:v>
                </c:pt>
                <c:pt idx="11">
                  <c:v>14133.5</c:v>
                </c:pt>
                <c:pt idx="12">
                  <c:v>14133.5</c:v>
                </c:pt>
                <c:pt idx="13">
                  <c:v>14133.5</c:v>
                </c:pt>
                <c:pt idx="14">
                  <c:v>14273.5</c:v>
                </c:pt>
                <c:pt idx="15">
                  <c:v>16328</c:v>
                </c:pt>
                <c:pt idx="16">
                  <c:v>16328.5</c:v>
                </c:pt>
                <c:pt idx="17">
                  <c:v>16428.5</c:v>
                </c:pt>
                <c:pt idx="18">
                  <c:v>17445.5</c:v>
                </c:pt>
                <c:pt idx="19">
                  <c:v>19766</c:v>
                </c:pt>
                <c:pt idx="20">
                  <c:v>19766.5</c:v>
                </c:pt>
                <c:pt idx="21">
                  <c:v>23125.5</c:v>
                </c:pt>
                <c:pt idx="22">
                  <c:v>23856</c:v>
                </c:pt>
                <c:pt idx="23">
                  <c:v>23882.5</c:v>
                </c:pt>
                <c:pt idx="24">
                  <c:v>24157.5</c:v>
                </c:pt>
                <c:pt idx="25">
                  <c:v>23982.5</c:v>
                </c:pt>
                <c:pt idx="26">
                  <c:v>23983</c:v>
                </c:pt>
                <c:pt idx="27">
                  <c:v>24194.5</c:v>
                </c:pt>
                <c:pt idx="28">
                  <c:v>24195</c:v>
                </c:pt>
                <c:pt idx="29">
                  <c:v>24280.5</c:v>
                </c:pt>
                <c:pt idx="30">
                  <c:v>24295</c:v>
                </c:pt>
                <c:pt idx="31">
                  <c:v>24919.5</c:v>
                </c:pt>
                <c:pt idx="32">
                  <c:v>24981.5</c:v>
                </c:pt>
                <c:pt idx="33">
                  <c:v>25061</c:v>
                </c:pt>
                <c:pt idx="34">
                  <c:v>25146.5</c:v>
                </c:pt>
                <c:pt idx="35">
                  <c:v>25147</c:v>
                </c:pt>
                <c:pt idx="36">
                  <c:v>25293.5</c:v>
                </c:pt>
                <c:pt idx="37">
                  <c:v>25294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C5-4A08-B245-6CF3E16186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2.0000000000000001E-4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2.0000000000000001E-4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-0.5</c:v>
                </c:pt>
                <c:pt idx="1">
                  <c:v>8902</c:v>
                </c:pt>
                <c:pt idx="2">
                  <c:v>8911</c:v>
                </c:pt>
                <c:pt idx="3">
                  <c:v>10193.5</c:v>
                </c:pt>
                <c:pt idx="4">
                  <c:v>12242.5</c:v>
                </c:pt>
                <c:pt idx="5">
                  <c:v>12293.5</c:v>
                </c:pt>
                <c:pt idx="6">
                  <c:v>12294</c:v>
                </c:pt>
                <c:pt idx="7">
                  <c:v>13213</c:v>
                </c:pt>
                <c:pt idx="8">
                  <c:v>13232</c:v>
                </c:pt>
                <c:pt idx="9">
                  <c:v>13232.5</c:v>
                </c:pt>
                <c:pt idx="10">
                  <c:v>13233</c:v>
                </c:pt>
                <c:pt idx="11">
                  <c:v>14133.5</c:v>
                </c:pt>
                <c:pt idx="12">
                  <c:v>14133.5</c:v>
                </c:pt>
                <c:pt idx="13">
                  <c:v>14133.5</c:v>
                </c:pt>
                <c:pt idx="14">
                  <c:v>14273.5</c:v>
                </c:pt>
                <c:pt idx="15">
                  <c:v>16328</c:v>
                </c:pt>
                <c:pt idx="16">
                  <c:v>16328.5</c:v>
                </c:pt>
                <c:pt idx="17">
                  <c:v>16428.5</c:v>
                </c:pt>
                <c:pt idx="18">
                  <c:v>17445.5</c:v>
                </c:pt>
                <c:pt idx="19">
                  <c:v>19766</c:v>
                </c:pt>
                <c:pt idx="20">
                  <c:v>19766.5</c:v>
                </c:pt>
                <c:pt idx="21">
                  <c:v>23125.5</c:v>
                </c:pt>
                <c:pt idx="22">
                  <c:v>23856</c:v>
                </c:pt>
                <c:pt idx="23">
                  <c:v>23882.5</c:v>
                </c:pt>
                <c:pt idx="24">
                  <c:v>24157.5</c:v>
                </c:pt>
                <c:pt idx="25">
                  <c:v>23982.5</c:v>
                </c:pt>
                <c:pt idx="26">
                  <c:v>23983</c:v>
                </c:pt>
                <c:pt idx="27">
                  <c:v>24194.5</c:v>
                </c:pt>
                <c:pt idx="28">
                  <c:v>24195</c:v>
                </c:pt>
                <c:pt idx="29">
                  <c:v>24280.5</c:v>
                </c:pt>
                <c:pt idx="30">
                  <c:v>24295</c:v>
                </c:pt>
                <c:pt idx="31">
                  <c:v>24919.5</c:v>
                </c:pt>
                <c:pt idx="32">
                  <c:v>24981.5</c:v>
                </c:pt>
                <c:pt idx="33">
                  <c:v>25061</c:v>
                </c:pt>
                <c:pt idx="34">
                  <c:v>25146.5</c:v>
                </c:pt>
                <c:pt idx="35">
                  <c:v>25147</c:v>
                </c:pt>
                <c:pt idx="36">
                  <c:v>25293.5</c:v>
                </c:pt>
                <c:pt idx="37">
                  <c:v>25294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7">
                  <c:v>-6.2904999998863786E-2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C5-4A08-B245-6CF3E16186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2.0000000000000001E-4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2.0000000000000001E-4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-0.5</c:v>
                </c:pt>
                <c:pt idx="1">
                  <c:v>8902</c:v>
                </c:pt>
                <c:pt idx="2">
                  <c:v>8911</c:v>
                </c:pt>
                <c:pt idx="3">
                  <c:v>10193.5</c:v>
                </c:pt>
                <c:pt idx="4">
                  <c:v>12242.5</c:v>
                </c:pt>
                <c:pt idx="5">
                  <c:v>12293.5</c:v>
                </c:pt>
                <c:pt idx="6">
                  <c:v>12294</c:v>
                </c:pt>
                <c:pt idx="7">
                  <c:v>13213</c:v>
                </c:pt>
                <c:pt idx="8">
                  <c:v>13232</c:v>
                </c:pt>
                <c:pt idx="9">
                  <c:v>13232.5</c:v>
                </c:pt>
                <c:pt idx="10">
                  <c:v>13233</c:v>
                </c:pt>
                <c:pt idx="11">
                  <c:v>14133.5</c:v>
                </c:pt>
                <c:pt idx="12">
                  <c:v>14133.5</c:v>
                </c:pt>
                <c:pt idx="13">
                  <c:v>14133.5</c:v>
                </c:pt>
                <c:pt idx="14">
                  <c:v>14273.5</c:v>
                </c:pt>
                <c:pt idx="15">
                  <c:v>16328</c:v>
                </c:pt>
                <c:pt idx="16">
                  <c:v>16328.5</c:v>
                </c:pt>
                <c:pt idx="17">
                  <c:v>16428.5</c:v>
                </c:pt>
                <c:pt idx="18">
                  <c:v>17445.5</c:v>
                </c:pt>
                <c:pt idx="19">
                  <c:v>19766</c:v>
                </c:pt>
                <c:pt idx="20">
                  <c:v>19766.5</c:v>
                </c:pt>
                <c:pt idx="21">
                  <c:v>23125.5</c:v>
                </c:pt>
                <c:pt idx="22">
                  <c:v>23856</c:v>
                </c:pt>
                <c:pt idx="23">
                  <c:v>23882.5</c:v>
                </c:pt>
                <c:pt idx="24">
                  <c:v>24157.5</c:v>
                </c:pt>
                <c:pt idx="25">
                  <c:v>23982.5</c:v>
                </c:pt>
                <c:pt idx="26">
                  <c:v>23983</c:v>
                </c:pt>
                <c:pt idx="27">
                  <c:v>24194.5</c:v>
                </c:pt>
                <c:pt idx="28">
                  <c:v>24195</c:v>
                </c:pt>
                <c:pt idx="29">
                  <c:v>24280.5</c:v>
                </c:pt>
                <c:pt idx="30">
                  <c:v>24295</c:v>
                </c:pt>
                <c:pt idx="31">
                  <c:v>24919.5</c:v>
                </c:pt>
                <c:pt idx="32">
                  <c:v>24981.5</c:v>
                </c:pt>
                <c:pt idx="33">
                  <c:v>25061</c:v>
                </c:pt>
                <c:pt idx="34">
                  <c:v>25146.5</c:v>
                </c:pt>
                <c:pt idx="35">
                  <c:v>25147</c:v>
                </c:pt>
                <c:pt idx="36">
                  <c:v>25293.5</c:v>
                </c:pt>
                <c:pt idx="37">
                  <c:v>25294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0.16926499999681255</c:v>
                </c:pt>
                <c:pt idx="1">
                  <c:v>5.4299999996146653E-2</c:v>
                </c:pt>
                <c:pt idx="2">
                  <c:v>5.1980000003823079E-2</c:v>
                </c:pt>
                <c:pt idx="3">
                  <c:v>2.94450000001234E-2</c:v>
                </c:pt>
                <c:pt idx="4">
                  <c:v>-1.4049999954295345E-3</c:v>
                </c:pt>
                <c:pt idx="5">
                  <c:v>3.4500000037951395E-4</c:v>
                </c:pt>
                <c:pt idx="6">
                  <c:v>-1.0199999960605055E-3</c:v>
                </c:pt>
                <c:pt idx="7">
                  <c:v>-1.0890000005019829E-2</c:v>
                </c:pt>
                <c:pt idx="8">
                  <c:v>-1.3959999996586703E-2</c:v>
                </c:pt>
                <c:pt idx="9">
                  <c:v>-1.4125000001513399E-2</c:v>
                </c:pt>
                <c:pt idx="10">
                  <c:v>-1.4089999996940605E-2</c:v>
                </c:pt>
                <c:pt idx="11">
                  <c:v>-2.7105000001029111E-2</c:v>
                </c:pt>
                <c:pt idx="12">
                  <c:v>-2.7105000001029111E-2</c:v>
                </c:pt>
                <c:pt idx="13">
                  <c:v>-2.6505000001634471E-2</c:v>
                </c:pt>
                <c:pt idx="14">
                  <c:v>-2.8655000001890585E-2</c:v>
                </c:pt>
                <c:pt idx="15">
                  <c:v>-6.0700000001816079E-2</c:v>
                </c:pt>
                <c:pt idx="16">
                  <c:v>-6.2034999995375983E-2</c:v>
                </c:pt>
                <c:pt idx="18">
                  <c:v>-7.8614999998535495E-2</c:v>
                </c:pt>
                <c:pt idx="19">
                  <c:v>-0.11368000000220491</c:v>
                </c:pt>
                <c:pt idx="20">
                  <c:v>-0.11574500000278931</c:v>
                </c:pt>
                <c:pt idx="21">
                  <c:v>-0.16651500000443775</c:v>
                </c:pt>
                <c:pt idx="22">
                  <c:v>-0.17917999999917811</c:v>
                </c:pt>
                <c:pt idx="23">
                  <c:v>-0.1792249999998603</c:v>
                </c:pt>
                <c:pt idx="24">
                  <c:v>-0.18387500000244472</c:v>
                </c:pt>
                <c:pt idx="25">
                  <c:v>-0.17952499999955762</c:v>
                </c:pt>
                <c:pt idx="26">
                  <c:v>-0.18048999999882653</c:v>
                </c:pt>
                <c:pt idx="27">
                  <c:v>-0.18308499999693595</c:v>
                </c:pt>
                <c:pt idx="28">
                  <c:v>-0.18425000000570435</c:v>
                </c:pt>
                <c:pt idx="29">
                  <c:v>-0.183565000006638</c:v>
                </c:pt>
                <c:pt idx="30">
                  <c:v>-0.18494999999529682</c:v>
                </c:pt>
                <c:pt idx="31">
                  <c:v>-0.19383500000549247</c:v>
                </c:pt>
                <c:pt idx="32">
                  <c:v>-0.19659500000125263</c:v>
                </c:pt>
                <c:pt idx="33">
                  <c:v>-0.1962299999941024</c:v>
                </c:pt>
                <c:pt idx="34">
                  <c:v>-0.19844499999453546</c:v>
                </c:pt>
                <c:pt idx="35">
                  <c:v>-0.19751000000542263</c:v>
                </c:pt>
                <c:pt idx="36">
                  <c:v>-0.20035500000085449</c:v>
                </c:pt>
                <c:pt idx="37">
                  <c:v>-0.20051999999850523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C5-4A08-B245-6CF3E16186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2.0000000000000001E-4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2.0000000000000001E-4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-0.5</c:v>
                </c:pt>
                <c:pt idx="1">
                  <c:v>8902</c:v>
                </c:pt>
                <c:pt idx="2">
                  <c:v>8911</c:v>
                </c:pt>
                <c:pt idx="3">
                  <c:v>10193.5</c:v>
                </c:pt>
                <c:pt idx="4">
                  <c:v>12242.5</c:v>
                </c:pt>
                <c:pt idx="5">
                  <c:v>12293.5</c:v>
                </c:pt>
                <c:pt idx="6">
                  <c:v>12294</c:v>
                </c:pt>
                <c:pt idx="7">
                  <c:v>13213</c:v>
                </c:pt>
                <c:pt idx="8">
                  <c:v>13232</c:v>
                </c:pt>
                <c:pt idx="9">
                  <c:v>13232.5</c:v>
                </c:pt>
                <c:pt idx="10">
                  <c:v>13233</c:v>
                </c:pt>
                <c:pt idx="11">
                  <c:v>14133.5</c:v>
                </c:pt>
                <c:pt idx="12">
                  <c:v>14133.5</c:v>
                </c:pt>
                <c:pt idx="13">
                  <c:v>14133.5</c:v>
                </c:pt>
                <c:pt idx="14">
                  <c:v>14273.5</c:v>
                </c:pt>
                <c:pt idx="15">
                  <c:v>16328</c:v>
                </c:pt>
                <c:pt idx="16">
                  <c:v>16328.5</c:v>
                </c:pt>
                <c:pt idx="17">
                  <c:v>16428.5</c:v>
                </c:pt>
                <c:pt idx="18">
                  <c:v>17445.5</c:v>
                </c:pt>
                <c:pt idx="19">
                  <c:v>19766</c:v>
                </c:pt>
                <c:pt idx="20">
                  <c:v>19766.5</c:v>
                </c:pt>
                <c:pt idx="21">
                  <c:v>23125.5</c:v>
                </c:pt>
                <c:pt idx="22">
                  <c:v>23856</c:v>
                </c:pt>
                <c:pt idx="23">
                  <c:v>23882.5</c:v>
                </c:pt>
                <c:pt idx="24">
                  <c:v>24157.5</c:v>
                </c:pt>
                <c:pt idx="25">
                  <c:v>23982.5</c:v>
                </c:pt>
                <c:pt idx="26">
                  <c:v>23983</c:v>
                </c:pt>
                <c:pt idx="27">
                  <c:v>24194.5</c:v>
                </c:pt>
                <c:pt idx="28">
                  <c:v>24195</c:v>
                </c:pt>
                <c:pt idx="29">
                  <c:v>24280.5</c:v>
                </c:pt>
                <c:pt idx="30">
                  <c:v>24295</c:v>
                </c:pt>
                <c:pt idx="31">
                  <c:v>24919.5</c:v>
                </c:pt>
                <c:pt idx="32">
                  <c:v>24981.5</c:v>
                </c:pt>
                <c:pt idx="33">
                  <c:v>25061</c:v>
                </c:pt>
                <c:pt idx="34">
                  <c:v>25146.5</c:v>
                </c:pt>
                <c:pt idx="35">
                  <c:v>25147</c:v>
                </c:pt>
                <c:pt idx="36">
                  <c:v>25293.5</c:v>
                </c:pt>
                <c:pt idx="37">
                  <c:v>25294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C5-4A08-B245-6CF3E16186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2.0000000000000001E-4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2.0000000000000001E-4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-0.5</c:v>
                </c:pt>
                <c:pt idx="1">
                  <c:v>8902</c:v>
                </c:pt>
                <c:pt idx="2">
                  <c:v>8911</c:v>
                </c:pt>
                <c:pt idx="3">
                  <c:v>10193.5</c:v>
                </c:pt>
                <c:pt idx="4">
                  <c:v>12242.5</c:v>
                </c:pt>
                <c:pt idx="5">
                  <c:v>12293.5</c:v>
                </c:pt>
                <c:pt idx="6">
                  <c:v>12294</c:v>
                </c:pt>
                <c:pt idx="7">
                  <c:v>13213</c:v>
                </c:pt>
                <c:pt idx="8">
                  <c:v>13232</c:v>
                </c:pt>
                <c:pt idx="9">
                  <c:v>13232.5</c:v>
                </c:pt>
                <c:pt idx="10">
                  <c:v>13233</c:v>
                </c:pt>
                <c:pt idx="11">
                  <c:v>14133.5</c:v>
                </c:pt>
                <c:pt idx="12">
                  <c:v>14133.5</c:v>
                </c:pt>
                <c:pt idx="13">
                  <c:v>14133.5</c:v>
                </c:pt>
                <c:pt idx="14">
                  <c:v>14273.5</c:v>
                </c:pt>
                <c:pt idx="15">
                  <c:v>16328</c:v>
                </c:pt>
                <c:pt idx="16">
                  <c:v>16328.5</c:v>
                </c:pt>
                <c:pt idx="17">
                  <c:v>16428.5</c:v>
                </c:pt>
                <c:pt idx="18">
                  <c:v>17445.5</c:v>
                </c:pt>
                <c:pt idx="19">
                  <c:v>19766</c:v>
                </c:pt>
                <c:pt idx="20">
                  <c:v>19766.5</c:v>
                </c:pt>
                <c:pt idx="21">
                  <c:v>23125.5</c:v>
                </c:pt>
                <c:pt idx="22">
                  <c:v>23856</c:v>
                </c:pt>
                <c:pt idx="23">
                  <c:v>23882.5</c:v>
                </c:pt>
                <c:pt idx="24">
                  <c:v>24157.5</c:v>
                </c:pt>
                <c:pt idx="25">
                  <c:v>23982.5</c:v>
                </c:pt>
                <c:pt idx="26">
                  <c:v>23983</c:v>
                </c:pt>
                <c:pt idx="27">
                  <c:v>24194.5</c:v>
                </c:pt>
                <c:pt idx="28">
                  <c:v>24195</c:v>
                </c:pt>
                <c:pt idx="29">
                  <c:v>24280.5</c:v>
                </c:pt>
                <c:pt idx="30">
                  <c:v>24295</c:v>
                </c:pt>
                <c:pt idx="31">
                  <c:v>24919.5</c:v>
                </c:pt>
                <c:pt idx="32">
                  <c:v>24981.5</c:v>
                </c:pt>
                <c:pt idx="33">
                  <c:v>25061</c:v>
                </c:pt>
                <c:pt idx="34">
                  <c:v>25146.5</c:v>
                </c:pt>
                <c:pt idx="35">
                  <c:v>25147</c:v>
                </c:pt>
                <c:pt idx="36">
                  <c:v>25293.5</c:v>
                </c:pt>
                <c:pt idx="37">
                  <c:v>25294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C5-4A08-B245-6CF3E16186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2.0000000000000001E-4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2.0000000000000001E-4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-0.5</c:v>
                </c:pt>
                <c:pt idx="1">
                  <c:v>8902</c:v>
                </c:pt>
                <c:pt idx="2">
                  <c:v>8911</c:v>
                </c:pt>
                <c:pt idx="3">
                  <c:v>10193.5</c:v>
                </c:pt>
                <c:pt idx="4">
                  <c:v>12242.5</c:v>
                </c:pt>
                <c:pt idx="5">
                  <c:v>12293.5</c:v>
                </c:pt>
                <c:pt idx="6">
                  <c:v>12294</c:v>
                </c:pt>
                <c:pt idx="7">
                  <c:v>13213</c:v>
                </c:pt>
                <c:pt idx="8">
                  <c:v>13232</c:v>
                </c:pt>
                <c:pt idx="9">
                  <c:v>13232.5</c:v>
                </c:pt>
                <c:pt idx="10">
                  <c:v>13233</c:v>
                </c:pt>
                <c:pt idx="11">
                  <c:v>14133.5</c:v>
                </c:pt>
                <c:pt idx="12">
                  <c:v>14133.5</c:v>
                </c:pt>
                <c:pt idx="13">
                  <c:v>14133.5</c:v>
                </c:pt>
                <c:pt idx="14">
                  <c:v>14273.5</c:v>
                </c:pt>
                <c:pt idx="15">
                  <c:v>16328</c:v>
                </c:pt>
                <c:pt idx="16">
                  <c:v>16328.5</c:v>
                </c:pt>
                <c:pt idx="17">
                  <c:v>16428.5</c:v>
                </c:pt>
                <c:pt idx="18">
                  <c:v>17445.5</c:v>
                </c:pt>
                <c:pt idx="19">
                  <c:v>19766</c:v>
                </c:pt>
                <c:pt idx="20">
                  <c:v>19766.5</c:v>
                </c:pt>
                <c:pt idx="21">
                  <c:v>23125.5</c:v>
                </c:pt>
                <c:pt idx="22">
                  <c:v>23856</c:v>
                </c:pt>
                <c:pt idx="23">
                  <c:v>23882.5</c:v>
                </c:pt>
                <c:pt idx="24">
                  <c:v>24157.5</c:v>
                </c:pt>
                <c:pt idx="25">
                  <c:v>23982.5</c:v>
                </c:pt>
                <c:pt idx="26">
                  <c:v>23983</c:v>
                </c:pt>
                <c:pt idx="27">
                  <c:v>24194.5</c:v>
                </c:pt>
                <c:pt idx="28">
                  <c:v>24195</c:v>
                </c:pt>
                <c:pt idx="29">
                  <c:v>24280.5</c:v>
                </c:pt>
                <c:pt idx="30">
                  <c:v>24295</c:v>
                </c:pt>
                <c:pt idx="31">
                  <c:v>24919.5</c:v>
                </c:pt>
                <c:pt idx="32">
                  <c:v>24981.5</c:v>
                </c:pt>
                <c:pt idx="33">
                  <c:v>25061</c:v>
                </c:pt>
                <c:pt idx="34">
                  <c:v>25146.5</c:v>
                </c:pt>
                <c:pt idx="35">
                  <c:v>25147</c:v>
                </c:pt>
                <c:pt idx="36">
                  <c:v>25293.5</c:v>
                </c:pt>
                <c:pt idx="37">
                  <c:v>25294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C5-4A08-B245-6CF3E16186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-0.5</c:v>
                </c:pt>
                <c:pt idx="1">
                  <c:v>8902</c:v>
                </c:pt>
                <c:pt idx="2">
                  <c:v>8911</c:v>
                </c:pt>
                <c:pt idx="3">
                  <c:v>10193.5</c:v>
                </c:pt>
                <c:pt idx="4">
                  <c:v>12242.5</c:v>
                </c:pt>
                <c:pt idx="5">
                  <c:v>12293.5</c:v>
                </c:pt>
                <c:pt idx="6">
                  <c:v>12294</c:v>
                </c:pt>
                <c:pt idx="7">
                  <c:v>13213</c:v>
                </c:pt>
                <c:pt idx="8">
                  <c:v>13232</c:v>
                </c:pt>
                <c:pt idx="9">
                  <c:v>13232.5</c:v>
                </c:pt>
                <c:pt idx="10">
                  <c:v>13233</c:v>
                </c:pt>
                <c:pt idx="11">
                  <c:v>14133.5</c:v>
                </c:pt>
                <c:pt idx="12">
                  <c:v>14133.5</c:v>
                </c:pt>
                <c:pt idx="13">
                  <c:v>14133.5</c:v>
                </c:pt>
                <c:pt idx="14">
                  <c:v>14273.5</c:v>
                </c:pt>
                <c:pt idx="15">
                  <c:v>16328</c:v>
                </c:pt>
                <c:pt idx="16">
                  <c:v>16328.5</c:v>
                </c:pt>
                <c:pt idx="17">
                  <c:v>16428.5</c:v>
                </c:pt>
                <c:pt idx="18">
                  <c:v>17445.5</c:v>
                </c:pt>
                <c:pt idx="19">
                  <c:v>19766</c:v>
                </c:pt>
                <c:pt idx="20">
                  <c:v>19766.5</c:v>
                </c:pt>
                <c:pt idx="21">
                  <c:v>23125.5</c:v>
                </c:pt>
                <c:pt idx="22">
                  <c:v>23856</c:v>
                </c:pt>
                <c:pt idx="23">
                  <c:v>23882.5</c:v>
                </c:pt>
                <c:pt idx="24">
                  <c:v>24157.5</c:v>
                </c:pt>
                <c:pt idx="25">
                  <c:v>23982.5</c:v>
                </c:pt>
                <c:pt idx="26">
                  <c:v>23983</c:v>
                </c:pt>
                <c:pt idx="27">
                  <c:v>24194.5</c:v>
                </c:pt>
                <c:pt idx="28">
                  <c:v>24195</c:v>
                </c:pt>
                <c:pt idx="29">
                  <c:v>24280.5</c:v>
                </c:pt>
                <c:pt idx="30">
                  <c:v>24295</c:v>
                </c:pt>
                <c:pt idx="31">
                  <c:v>24919.5</c:v>
                </c:pt>
                <c:pt idx="32">
                  <c:v>24981.5</c:v>
                </c:pt>
                <c:pt idx="33">
                  <c:v>25061</c:v>
                </c:pt>
                <c:pt idx="34">
                  <c:v>25146.5</c:v>
                </c:pt>
                <c:pt idx="35">
                  <c:v>25147</c:v>
                </c:pt>
                <c:pt idx="36">
                  <c:v>25293.5</c:v>
                </c:pt>
                <c:pt idx="37">
                  <c:v>25294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0.19037741987666387</c:v>
                </c:pt>
                <c:pt idx="1">
                  <c:v>5.2874859797428869E-2</c:v>
                </c:pt>
                <c:pt idx="2">
                  <c:v>5.2735851312091825E-2</c:v>
                </c:pt>
                <c:pt idx="3">
                  <c:v>3.2927142151561756E-2</c:v>
                </c:pt>
                <c:pt idx="4">
                  <c:v>1.2795436564926876E-3</c:v>
                </c:pt>
                <c:pt idx="5">
                  <c:v>4.918289062493808E-4</c:v>
                </c:pt>
                <c:pt idx="6">
                  <c:v>4.8410621261954501E-4</c:v>
                </c:pt>
                <c:pt idx="7">
                  <c:v>-1.3710204679019539E-2</c:v>
                </c:pt>
                <c:pt idx="8">
                  <c:v>-1.4003667036953327E-2</c:v>
                </c:pt>
                <c:pt idx="9">
                  <c:v>-1.4011389730583163E-2</c:v>
                </c:pt>
                <c:pt idx="10">
                  <c:v>-1.4019112424212998E-2</c:v>
                </c:pt>
                <c:pt idx="11">
                  <c:v>-2.792768365154813E-2</c:v>
                </c:pt>
                <c:pt idx="12">
                  <c:v>-2.792768365154813E-2</c:v>
                </c:pt>
                <c:pt idx="13">
                  <c:v>-2.792768365154813E-2</c:v>
                </c:pt>
                <c:pt idx="14">
                  <c:v>-3.0090037867902292E-2</c:v>
                </c:pt>
                <c:pt idx="15">
                  <c:v>-6.1822585992899581E-2</c:v>
                </c:pt>
                <c:pt idx="16">
                  <c:v>-6.1830308686529445E-2</c:v>
                </c:pt>
                <c:pt idx="17">
                  <c:v>-6.337484741249666E-2</c:v>
                </c:pt>
                <c:pt idx="18">
                  <c:v>-7.9082806255583671E-2</c:v>
                </c:pt>
                <c:pt idx="19">
                  <c:v>-0.11492382739165385</c:v>
                </c:pt>
                <c:pt idx="20">
                  <c:v>-0.11493155008528372</c:v>
                </c:pt>
                <c:pt idx="21">
                  <c:v>-0.16681260589052382</c:v>
                </c:pt>
                <c:pt idx="22">
                  <c:v>-0.17809546128371462</c:v>
                </c:pt>
                <c:pt idx="23">
                  <c:v>-0.17850476404609594</c:v>
                </c:pt>
                <c:pt idx="24">
                  <c:v>-0.18275224554250591</c:v>
                </c:pt>
                <c:pt idx="25">
                  <c:v>-0.18004930277206321</c:v>
                </c:pt>
                <c:pt idx="26">
                  <c:v>-0.18005702546569308</c:v>
                </c:pt>
                <c:pt idx="27">
                  <c:v>-0.18332372487111381</c:v>
                </c:pt>
                <c:pt idx="28">
                  <c:v>-0.18333144756474362</c:v>
                </c:pt>
                <c:pt idx="29">
                  <c:v>-0.18465202817544563</c:v>
                </c:pt>
                <c:pt idx="30">
                  <c:v>-0.18487598629071089</c:v>
                </c:pt>
                <c:pt idx="31">
                  <c:v>-0.19452163063437639</c:v>
                </c:pt>
                <c:pt idx="32">
                  <c:v>-0.19547924464447614</c:v>
                </c:pt>
                <c:pt idx="33">
                  <c:v>-0.19670715293162006</c:v>
                </c:pt>
                <c:pt idx="34">
                  <c:v>-0.19802773354232206</c:v>
                </c:pt>
                <c:pt idx="35">
                  <c:v>-0.19803545623595192</c:v>
                </c:pt>
                <c:pt idx="36">
                  <c:v>-0.20029820546949395</c:v>
                </c:pt>
                <c:pt idx="37">
                  <c:v>-0.20030592816312381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C5-4A08-B245-6CF3E1618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042448"/>
        <c:axId val="1"/>
      </c:scatterChart>
      <c:valAx>
        <c:axId val="634042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042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1FD2A46-EFCD-8F82-1542-CD700DD69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094.pdf" TargetMode="External"/><Relationship Id="rId7" Type="http://schemas.openxmlformats.org/officeDocument/2006/relationships/hyperlink" Target="http://www.bav-astro.de/sfs/BAVM_link.php?BAVMnr=225" TargetMode="External"/><Relationship Id="rId12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25" TargetMode="External"/><Relationship Id="rId11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37.pdf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34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C8" sqref="C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5703125" customWidth="1"/>
    <col min="6" max="6" width="17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>
      <c r="A1" s="1" t="s">
        <v>37</v>
      </c>
      <c r="F1">
        <v>51370.877</v>
      </c>
      <c r="G1">
        <v>0.33853</v>
      </c>
      <c r="H1" t="s">
        <v>38</v>
      </c>
      <c r="I1" t="s">
        <v>39</v>
      </c>
    </row>
    <row r="2" spans="1:9">
      <c r="A2" t="s">
        <v>26</v>
      </c>
      <c r="B2" t="s">
        <v>38</v>
      </c>
      <c r="C2" s="3"/>
      <c r="D2" s="3"/>
      <c r="E2" t="s">
        <v>39</v>
      </c>
    </row>
    <row r="3" spans="1:9" ht="13.5" thickBot="1"/>
    <row r="4" spans="1:9" ht="14.25" thickTop="1" thickBot="1">
      <c r="A4" s="5" t="s">
        <v>3</v>
      </c>
      <c r="C4" s="8" t="s">
        <v>40</v>
      </c>
      <c r="D4" s="9" t="s">
        <v>40</v>
      </c>
    </row>
    <row r="5" spans="1:9" ht="13.5" thickTop="1">
      <c r="A5" s="11" t="s">
        <v>31</v>
      </c>
      <c r="B5" s="12"/>
      <c r="C5" s="13">
        <v>-9.5</v>
      </c>
      <c r="D5" s="12" t="s">
        <v>32</v>
      </c>
      <c r="E5" s="12"/>
    </row>
    <row r="6" spans="1:9">
      <c r="A6" s="5" t="s">
        <v>4</v>
      </c>
    </row>
    <row r="7" spans="1:9">
      <c r="A7" t="s">
        <v>5</v>
      </c>
      <c r="C7">
        <v>51370.877</v>
      </c>
    </row>
    <row r="8" spans="1:9">
      <c r="A8" t="s">
        <v>6</v>
      </c>
      <c r="C8">
        <v>0.33853</v>
      </c>
      <c r="D8" s="30" t="s">
        <v>43</v>
      </c>
    </row>
    <row r="9" spans="1:9">
      <c r="A9" s="26" t="s">
        <v>36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9" ht="13.5" thickBot="1">
      <c r="A10" s="12"/>
      <c r="B10" s="12"/>
      <c r="C10" s="4" t="s">
        <v>22</v>
      </c>
      <c r="D10" s="4" t="s">
        <v>23</v>
      </c>
      <c r="E10" s="12"/>
    </row>
    <row r="11" spans="1:9">
      <c r="A11" s="12" t="s">
        <v>18</v>
      </c>
      <c r="B11" s="12"/>
      <c r="C11" s="23">
        <f ca="1">INTERCEPT(INDIRECT($D$9):G989,INDIRECT($C$9):F989)</f>
        <v>0.19036969718303404</v>
      </c>
      <c r="D11" s="3"/>
      <c r="E11" s="12"/>
    </row>
    <row r="12" spans="1:9">
      <c r="A12" s="12" t="s">
        <v>19</v>
      </c>
      <c r="B12" s="12"/>
      <c r="C12" s="23">
        <f ca="1">SLOPE(INDIRECT($D$9):G989,INDIRECT($C$9):F989)</f>
        <v>-1.5445387259672564E-5</v>
      </c>
      <c r="D12" s="3"/>
      <c r="E12" s="12"/>
    </row>
    <row r="13" spans="1:9">
      <c r="A13" s="12" t="s">
        <v>21</v>
      </c>
      <c r="B13" s="12"/>
      <c r="C13" s="3" t="s">
        <v>16</v>
      </c>
    </row>
    <row r="14" spans="1:9">
      <c r="A14" s="12"/>
      <c r="B14" s="12"/>
      <c r="C14" s="12"/>
    </row>
    <row r="15" spans="1:9">
      <c r="A15" s="14" t="s">
        <v>20</v>
      </c>
      <c r="B15" s="12"/>
      <c r="C15" s="15">
        <f ca="1">(C7+C11)+(C8+C12)*INT(MAX(F21:F3530))</f>
        <v>59933.45451407184</v>
      </c>
      <c r="E15" s="16" t="s">
        <v>49</v>
      </c>
      <c r="F15" s="13">
        <v>1</v>
      </c>
    </row>
    <row r="16" spans="1:9">
      <c r="A16" s="18" t="s">
        <v>7</v>
      </c>
      <c r="B16" s="12"/>
      <c r="C16" s="19">
        <f ca="1">+C8+C12</f>
        <v>0.33851455461274033</v>
      </c>
      <c r="E16" s="16" t="s">
        <v>33</v>
      </c>
      <c r="F16" s="17">
        <f ca="1">NOW()+15018.5+$C$5/24</f>
        <v>60169.705493518515</v>
      </c>
    </row>
    <row r="17" spans="1:17" ht="13.5" thickBot="1">
      <c r="A17" s="16" t="s">
        <v>30</v>
      </c>
      <c r="B17" s="12"/>
      <c r="C17" s="12">
        <f>COUNT(C21:C2188)</f>
        <v>38</v>
      </c>
      <c r="E17" s="16" t="s">
        <v>50</v>
      </c>
      <c r="F17" s="17">
        <f ca="1">ROUND(2*(F16-$C$7)/$C$8,0)/2+F15</f>
        <v>25992.5</v>
      </c>
    </row>
    <row r="18" spans="1:17" ht="14.25" thickTop="1" thickBot="1">
      <c r="A18" s="18" t="s">
        <v>8</v>
      </c>
      <c r="B18" s="12"/>
      <c r="C18" s="21">
        <f ca="1">+C15</f>
        <v>59933.45451407184</v>
      </c>
      <c r="D18" s="22">
        <f ca="1">+C16</f>
        <v>0.33851455461274033</v>
      </c>
      <c r="E18" s="16" t="s">
        <v>34</v>
      </c>
      <c r="F18" s="25">
        <f ca="1">ROUND(2*(F16-$C$15)/$C$16,0)/2+F15</f>
        <v>699</v>
      </c>
    </row>
    <row r="19" spans="1:17" ht="13.5" thickTop="1">
      <c r="E19" s="16" t="s">
        <v>35</v>
      </c>
      <c r="F19" s="20">
        <f ca="1">+$C$15+$C$16*F18-15018.5-$C$5/24</f>
        <v>45151.972021079484</v>
      </c>
    </row>
    <row r="20" spans="1:17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63</v>
      </c>
      <c r="I20" s="7" t="s">
        <v>66</v>
      </c>
      <c r="J20" s="7" t="s">
        <v>60</v>
      </c>
      <c r="K20" s="7" t="s">
        <v>58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7">
      <c r="A21" t="s">
        <v>44</v>
      </c>
      <c r="C21" s="10">
        <v>51370.877</v>
      </c>
      <c r="D21" s="10" t="s">
        <v>16</v>
      </c>
      <c r="E21">
        <f t="shared" ref="E21:E45" si="0">+(C21-C$7)/C$8</f>
        <v>0</v>
      </c>
      <c r="F21" s="61">
        <f>ROUND(2*E21,0)/2-0.5</f>
        <v>-0.5</v>
      </c>
      <c r="G21">
        <f t="shared" ref="G21:G45" si="1">+C21-(C$7+F21*C$8)</f>
        <v>0.16926499999681255</v>
      </c>
      <c r="K21">
        <f t="shared" ref="K21:K37" si="2">+G21</f>
        <v>0.16926499999681255</v>
      </c>
      <c r="O21">
        <f t="shared" ref="O21:O45" ca="1" si="3">+C$11+C$12*$F21</f>
        <v>0.19037741987666387</v>
      </c>
      <c r="Q21" s="2">
        <f t="shared" ref="Q21:Q45" si="4">+C21-15018.5</f>
        <v>36352.377</v>
      </c>
    </row>
    <row r="22" spans="1:17">
      <c r="A22" t="s">
        <v>45</v>
      </c>
      <c r="B22" s="3" t="s">
        <v>46</v>
      </c>
      <c r="C22" s="10">
        <v>54384.52536</v>
      </c>
      <c r="D22" s="10">
        <v>6.9999999999999999E-4</v>
      </c>
      <c r="E22">
        <f t="shared" si="0"/>
        <v>8902.1603993737608</v>
      </c>
      <c r="F22" s="31">
        <f t="shared" ref="F22:F39" si="5">ROUND(2*E22,0)/2</f>
        <v>8902</v>
      </c>
      <c r="G22">
        <f t="shared" si="1"/>
        <v>5.4299999996146653E-2</v>
      </c>
      <c r="K22">
        <f t="shared" si="2"/>
        <v>5.4299999996146653E-2</v>
      </c>
      <c r="O22">
        <f t="shared" ca="1" si="3"/>
        <v>5.2874859797428869E-2</v>
      </c>
      <c r="Q22" s="2">
        <f t="shared" si="4"/>
        <v>39366.02536</v>
      </c>
    </row>
    <row r="23" spans="1:17">
      <c r="A23" t="s">
        <v>45</v>
      </c>
      <c r="B23" s="3" t="s">
        <v>46</v>
      </c>
      <c r="C23" s="10">
        <v>54387.569810000001</v>
      </c>
      <c r="D23" s="10">
        <v>2.0000000000000001E-4</v>
      </c>
      <c r="E23">
        <f t="shared" si="0"/>
        <v>8911.1535462145166</v>
      </c>
      <c r="F23" s="31">
        <f t="shared" si="5"/>
        <v>8911</v>
      </c>
      <c r="G23">
        <f t="shared" si="1"/>
        <v>5.1980000003823079E-2</v>
      </c>
      <c r="K23">
        <f t="shared" si="2"/>
        <v>5.1980000003823079E-2</v>
      </c>
      <c r="O23">
        <f t="shared" ca="1" si="3"/>
        <v>5.2735851312091825E-2</v>
      </c>
      <c r="Q23" s="2">
        <f t="shared" si="4"/>
        <v>39369.069810000001</v>
      </c>
    </row>
    <row r="24" spans="1:17">
      <c r="A24" s="29" t="s">
        <v>41</v>
      </c>
      <c r="B24" s="28" t="s">
        <v>42</v>
      </c>
      <c r="C24" s="29">
        <v>54821.712</v>
      </c>
      <c r="D24" s="29">
        <v>1E-4</v>
      </c>
      <c r="E24">
        <f t="shared" si="0"/>
        <v>10193.586978997428</v>
      </c>
      <c r="F24" s="31">
        <f t="shared" si="5"/>
        <v>10193.5</v>
      </c>
      <c r="G24">
        <f t="shared" si="1"/>
        <v>2.94450000001234E-2</v>
      </c>
      <c r="K24">
        <f t="shared" si="2"/>
        <v>2.94450000001234E-2</v>
      </c>
      <c r="O24">
        <f t="shared" ca="1" si="3"/>
        <v>3.2927142151561756E-2</v>
      </c>
      <c r="Q24" s="2">
        <f t="shared" si="4"/>
        <v>39803.212</v>
      </c>
    </row>
    <row r="25" spans="1:17">
      <c r="A25" s="32" t="s">
        <v>48</v>
      </c>
      <c r="B25" s="28" t="s">
        <v>46</v>
      </c>
      <c r="C25" s="29">
        <v>55515.329120000002</v>
      </c>
      <c r="D25" s="29">
        <v>8.0000000000000004E-4</v>
      </c>
      <c r="E25" s="31">
        <f t="shared" si="0"/>
        <v>12242.495849703133</v>
      </c>
      <c r="F25" s="31">
        <f t="shared" si="5"/>
        <v>12242.5</v>
      </c>
      <c r="G25">
        <f t="shared" si="1"/>
        <v>-1.4049999954295345E-3</v>
      </c>
      <c r="K25">
        <f t="shared" si="2"/>
        <v>-1.4049999954295345E-3</v>
      </c>
      <c r="O25">
        <f t="shared" ca="1" si="3"/>
        <v>1.2795436564926876E-3</v>
      </c>
      <c r="Q25" s="2">
        <f t="shared" si="4"/>
        <v>40496.829120000002</v>
      </c>
    </row>
    <row r="26" spans="1:17">
      <c r="A26" s="32" t="s">
        <v>47</v>
      </c>
      <c r="B26" s="28" t="s">
        <v>46</v>
      </c>
      <c r="C26" s="29">
        <v>55532.5959</v>
      </c>
      <c r="D26" s="29">
        <v>1.5E-3</v>
      </c>
      <c r="E26" s="35">
        <f t="shared" si="0"/>
        <v>12293.501019112044</v>
      </c>
      <c r="F26" s="31">
        <f t="shared" si="5"/>
        <v>12293.5</v>
      </c>
      <c r="G26">
        <f t="shared" si="1"/>
        <v>3.4500000037951395E-4</v>
      </c>
      <c r="K26">
        <f t="shared" si="2"/>
        <v>3.4500000037951395E-4</v>
      </c>
      <c r="O26">
        <f t="shared" ca="1" si="3"/>
        <v>4.918289062493808E-4</v>
      </c>
      <c r="Q26" s="2">
        <f t="shared" si="4"/>
        <v>40514.0959</v>
      </c>
    </row>
    <row r="27" spans="1:17">
      <c r="A27" s="32" t="s">
        <v>47</v>
      </c>
      <c r="B27" s="28" t="s">
        <v>42</v>
      </c>
      <c r="C27" s="29">
        <v>55532.763800000001</v>
      </c>
      <c r="D27" s="29">
        <v>1.2999999999999999E-3</v>
      </c>
      <c r="E27" s="35">
        <f t="shared" si="0"/>
        <v>12293.99698697309</v>
      </c>
      <c r="F27" s="31">
        <f t="shared" si="5"/>
        <v>12294</v>
      </c>
      <c r="G27">
        <f t="shared" si="1"/>
        <v>-1.0199999960605055E-3</v>
      </c>
      <c r="K27">
        <f t="shared" si="2"/>
        <v>-1.0199999960605055E-3</v>
      </c>
      <c r="O27">
        <f t="shared" ca="1" si="3"/>
        <v>4.8410621261954501E-4</v>
      </c>
      <c r="Q27" s="2">
        <f t="shared" si="4"/>
        <v>40514.263800000001</v>
      </c>
    </row>
    <row r="28" spans="1:17">
      <c r="A28" s="33" t="s">
        <v>51</v>
      </c>
      <c r="B28" s="34" t="s">
        <v>46</v>
      </c>
      <c r="C28" s="33">
        <v>55843.862999999998</v>
      </c>
      <c r="D28" s="33">
        <v>6.9999999999999999E-4</v>
      </c>
      <c r="E28" s="35">
        <f t="shared" si="0"/>
        <v>13212.967831506801</v>
      </c>
      <c r="F28" s="31">
        <f t="shared" si="5"/>
        <v>13213</v>
      </c>
      <c r="G28">
        <f t="shared" si="1"/>
        <v>-1.0890000005019829E-2</v>
      </c>
      <c r="K28">
        <f t="shared" si="2"/>
        <v>-1.0890000005019829E-2</v>
      </c>
      <c r="O28">
        <f t="shared" ca="1" si="3"/>
        <v>-1.3710204679019539E-2</v>
      </c>
      <c r="Q28" s="2">
        <f t="shared" si="4"/>
        <v>40825.362999999998</v>
      </c>
    </row>
    <row r="29" spans="1:17">
      <c r="A29" s="25" t="s">
        <v>104</v>
      </c>
      <c r="B29" s="3" t="s">
        <v>46</v>
      </c>
      <c r="C29" s="10">
        <v>55850.292000000001</v>
      </c>
      <c r="D29" s="10" t="s">
        <v>66</v>
      </c>
      <c r="E29" s="35">
        <f t="shared" si="0"/>
        <v>13231.958762886601</v>
      </c>
      <c r="F29" s="31">
        <f t="shared" si="5"/>
        <v>13232</v>
      </c>
      <c r="G29">
        <f t="shared" si="1"/>
        <v>-1.3959999996586703E-2</v>
      </c>
      <c r="K29">
        <f t="shared" si="2"/>
        <v>-1.3959999996586703E-2</v>
      </c>
      <c r="O29">
        <f t="shared" ca="1" si="3"/>
        <v>-1.4003667036953327E-2</v>
      </c>
      <c r="Q29" s="2">
        <f t="shared" si="4"/>
        <v>40831.792000000001</v>
      </c>
    </row>
    <row r="30" spans="1:17">
      <c r="A30" s="25" t="s">
        <v>104</v>
      </c>
      <c r="B30" s="3" t="s">
        <v>42</v>
      </c>
      <c r="C30" s="10">
        <v>55850.4611</v>
      </c>
      <c r="D30" s="10" t="s">
        <v>66</v>
      </c>
      <c r="E30" s="35">
        <f t="shared" si="0"/>
        <v>13232.458275485185</v>
      </c>
      <c r="F30" s="31">
        <f t="shared" si="5"/>
        <v>13232.5</v>
      </c>
      <c r="G30">
        <f t="shared" si="1"/>
        <v>-1.4125000001513399E-2</v>
      </c>
      <c r="K30">
        <f t="shared" si="2"/>
        <v>-1.4125000001513399E-2</v>
      </c>
      <c r="O30">
        <f t="shared" ca="1" si="3"/>
        <v>-1.4011389730583163E-2</v>
      </c>
      <c r="Q30" s="2">
        <f t="shared" si="4"/>
        <v>40831.9611</v>
      </c>
    </row>
    <row r="31" spans="1:17">
      <c r="A31" s="25" t="s">
        <v>104</v>
      </c>
      <c r="B31" s="3" t="s">
        <v>46</v>
      </c>
      <c r="C31" s="10">
        <v>55850.630400000002</v>
      </c>
      <c r="D31" s="10" t="s">
        <v>66</v>
      </c>
      <c r="E31" s="35">
        <f t="shared" si="0"/>
        <v>13232.958378873369</v>
      </c>
      <c r="F31" s="31">
        <f t="shared" si="5"/>
        <v>13233</v>
      </c>
      <c r="G31">
        <f t="shared" si="1"/>
        <v>-1.4089999996940605E-2</v>
      </c>
      <c r="K31">
        <f t="shared" si="2"/>
        <v>-1.4089999996940605E-2</v>
      </c>
      <c r="O31">
        <f t="shared" ca="1" si="3"/>
        <v>-1.4019112424212998E-2</v>
      </c>
      <c r="Q31" s="2">
        <f t="shared" si="4"/>
        <v>40832.130400000002</v>
      </c>
    </row>
    <row r="32" spans="1:17">
      <c r="A32" s="49" t="s">
        <v>53</v>
      </c>
      <c r="B32" s="50" t="s">
        <v>46</v>
      </c>
      <c r="C32" s="51">
        <v>56155.463649999998</v>
      </c>
      <c r="D32" s="51">
        <v>4.0000000000000002E-4</v>
      </c>
      <c r="E32" s="35">
        <f t="shared" si="0"/>
        <v>14133.41993324077</v>
      </c>
      <c r="F32" s="31">
        <f t="shared" si="5"/>
        <v>14133.5</v>
      </c>
      <c r="G32">
        <f t="shared" si="1"/>
        <v>-2.7105000001029111E-2</v>
      </c>
      <c r="K32">
        <f t="shared" si="2"/>
        <v>-2.7105000001029111E-2</v>
      </c>
      <c r="O32">
        <f t="shared" ca="1" si="3"/>
        <v>-2.792768365154813E-2</v>
      </c>
      <c r="Q32" s="2">
        <f t="shared" si="4"/>
        <v>41136.963649999998</v>
      </c>
    </row>
    <row r="33" spans="1:22">
      <c r="A33" s="49" t="s">
        <v>53</v>
      </c>
      <c r="B33" s="50" t="s">
        <v>46</v>
      </c>
      <c r="C33" s="51">
        <v>56155.463649999998</v>
      </c>
      <c r="D33" s="51">
        <v>5.9999999999999995E-4</v>
      </c>
      <c r="E33" s="35">
        <f t="shared" si="0"/>
        <v>14133.41993324077</v>
      </c>
      <c r="F33" s="31">
        <f t="shared" si="5"/>
        <v>14133.5</v>
      </c>
      <c r="G33">
        <f t="shared" si="1"/>
        <v>-2.7105000001029111E-2</v>
      </c>
      <c r="K33">
        <f t="shared" si="2"/>
        <v>-2.7105000001029111E-2</v>
      </c>
      <c r="O33">
        <f t="shared" ca="1" si="3"/>
        <v>-2.792768365154813E-2</v>
      </c>
      <c r="Q33" s="2">
        <f t="shared" si="4"/>
        <v>41136.963649999998</v>
      </c>
    </row>
    <row r="34" spans="1:22">
      <c r="A34" s="49" t="s">
        <v>53</v>
      </c>
      <c r="B34" s="50" t="s">
        <v>46</v>
      </c>
      <c r="C34" s="51">
        <v>56155.464249999997</v>
      </c>
      <c r="D34" s="51">
        <v>5.9999999999999995E-4</v>
      </c>
      <c r="E34" s="35">
        <f t="shared" si="0"/>
        <v>14133.421705609539</v>
      </c>
      <c r="F34" s="31">
        <f t="shared" si="5"/>
        <v>14133.5</v>
      </c>
      <c r="G34">
        <f t="shared" si="1"/>
        <v>-2.6505000001634471E-2</v>
      </c>
      <c r="K34">
        <f t="shared" si="2"/>
        <v>-2.6505000001634471E-2</v>
      </c>
      <c r="O34">
        <f t="shared" ca="1" si="3"/>
        <v>-2.792768365154813E-2</v>
      </c>
      <c r="Q34" s="2">
        <f t="shared" si="4"/>
        <v>41136.964249999997</v>
      </c>
    </row>
    <row r="35" spans="1:22">
      <c r="A35" s="32" t="s">
        <v>52</v>
      </c>
      <c r="B35" s="28" t="s">
        <v>42</v>
      </c>
      <c r="C35" s="29">
        <v>56202.856299999999</v>
      </c>
      <c r="D35" s="29">
        <v>4.0000000000000002E-4</v>
      </c>
      <c r="E35" s="35">
        <f t="shared" si="0"/>
        <v>14273.415354621449</v>
      </c>
      <c r="F35" s="31">
        <f t="shared" si="5"/>
        <v>14273.5</v>
      </c>
      <c r="G35">
        <f t="shared" si="1"/>
        <v>-2.8655000001890585E-2</v>
      </c>
      <c r="K35">
        <f t="shared" si="2"/>
        <v>-2.8655000001890585E-2</v>
      </c>
      <c r="O35">
        <f t="shared" ca="1" si="3"/>
        <v>-3.0090037867902292E-2</v>
      </c>
      <c r="Q35" s="2">
        <f t="shared" si="4"/>
        <v>41184.356299999999</v>
      </c>
    </row>
    <row r="36" spans="1:22">
      <c r="A36" s="51" t="s">
        <v>55</v>
      </c>
      <c r="B36" s="50" t="s">
        <v>42</v>
      </c>
      <c r="C36" s="52">
        <v>56898.334139999999</v>
      </c>
      <c r="D36" s="51">
        <v>2.9999999999999997E-4</v>
      </c>
      <c r="E36" s="35">
        <f t="shared" si="0"/>
        <v>16327.820695359344</v>
      </c>
      <c r="F36" s="31">
        <f t="shared" si="5"/>
        <v>16328</v>
      </c>
      <c r="G36">
        <f t="shared" si="1"/>
        <v>-6.0700000001816079E-2</v>
      </c>
      <c r="K36">
        <f t="shared" si="2"/>
        <v>-6.0700000001816079E-2</v>
      </c>
      <c r="O36">
        <f t="shared" ca="1" si="3"/>
        <v>-6.1822585992899581E-2</v>
      </c>
      <c r="Q36" s="2">
        <f t="shared" si="4"/>
        <v>41879.834139999999</v>
      </c>
    </row>
    <row r="37" spans="1:22">
      <c r="A37" s="51" t="s">
        <v>55</v>
      </c>
      <c r="B37" s="50" t="s">
        <v>46</v>
      </c>
      <c r="C37" s="52">
        <v>56898.502070000002</v>
      </c>
      <c r="D37" s="51">
        <v>1E-4</v>
      </c>
      <c r="E37" s="35">
        <f t="shared" si="0"/>
        <v>16328.316751838838</v>
      </c>
      <c r="F37" s="31">
        <f t="shared" si="5"/>
        <v>16328.5</v>
      </c>
      <c r="G37">
        <f t="shared" si="1"/>
        <v>-6.2034999995375983E-2</v>
      </c>
      <c r="K37">
        <f t="shared" si="2"/>
        <v>-6.2034999995375983E-2</v>
      </c>
      <c r="O37">
        <f t="shared" ca="1" si="3"/>
        <v>-6.1830308686529445E-2</v>
      </c>
      <c r="Q37" s="2">
        <f t="shared" si="4"/>
        <v>41880.002070000002</v>
      </c>
    </row>
    <row r="38" spans="1:22">
      <c r="A38" s="53" t="s">
        <v>54</v>
      </c>
      <c r="B38" s="50"/>
      <c r="C38" s="53">
        <v>56932.354200000002</v>
      </c>
      <c r="D38" s="53">
        <v>1E-4</v>
      </c>
      <c r="E38" s="35">
        <f t="shared" si="0"/>
        <v>16428.314181904119</v>
      </c>
      <c r="F38" s="31">
        <f t="shared" si="5"/>
        <v>16428.5</v>
      </c>
      <c r="G38">
        <f t="shared" si="1"/>
        <v>-6.2904999998863786E-2</v>
      </c>
      <c r="J38">
        <f>+G38</f>
        <v>-6.2904999998863786E-2</v>
      </c>
      <c r="O38">
        <f t="shared" ca="1" si="3"/>
        <v>-6.337484741249666E-2</v>
      </c>
      <c r="Q38" s="2">
        <f t="shared" si="4"/>
        <v>41913.854200000002</v>
      </c>
    </row>
    <row r="39" spans="1:22">
      <c r="A39" s="54" t="s">
        <v>2</v>
      </c>
      <c r="B39" s="55" t="s">
        <v>46</v>
      </c>
      <c r="C39" s="56">
        <v>57276.623500000002</v>
      </c>
      <c r="D39" s="56" t="s">
        <v>1</v>
      </c>
      <c r="E39" s="35">
        <f t="shared" si="0"/>
        <v>17445.267775381802</v>
      </c>
      <c r="F39" s="31">
        <f t="shared" si="5"/>
        <v>17445.5</v>
      </c>
      <c r="G39">
        <f t="shared" si="1"/>
        <v>-7.8614999998535495E-2</v>
      </c>
      <c r="K39">
        <f t="shared" ref="K39:K45" si="6">+G39</f>
        <v>-7.8614999998535495E-2</v>
      </c>
      <c r="O39">
        <f t="shared" ca="1" si="3"/>
        <v>-7.9082806255583671E-2</v>
      </c>
      <c r="Q39" s="2">
        <f t="shared" si="4"/>
        <v>42258.123500000002</v>
      </c>
    </row>
    <row r="40" spans="1:22">
      <c r="A40" s="57" t="s">
        <v>0</v>
      </c>
      <c r="B40" s="58" t="s">
        <v>42</v>
      </c>
      <c r="C40" s="59">
        <v>58062.147299999997</v>
      </c>
      <c r="D40" s="60" t="s">
        <v>65</v>
      </c>
      <c r="E40" s="35">
        <f t="shared" si="0"/>
        <v>19765.66419519687</v>
      </c>
      <c r="F40" s="62">
        <f t="shared" ref="F40:F45" si="7">ROUND(2*E40,0)/2+0.5</f>
        <v>19766</v>
      </c>
      <c r="G40">
        <f t="shared" si="1"/>
        <v>-0.11368000000220491</v>
      </c>
      <c r="K40">
        <f t="shared" si="6"/>
        <v>-0.11368000000220491</v>
      </c>
      <c r="O40">
        <f t="shared" ca="1" si="3"/>
        <v>-0.11492382739165385</v>
      </c>
      <c r="Q40" s="2">
        <f t="shared" si="4"/>
        <v>43043.647299999997</v>
      </c>
    </row>
    <row r="41" spans="1:22">
      <c r="A41" s="57" t="s">
        <v>0</v>
      </c>
      <c r="B41" s="58" t="s">
        <v>46</v>
      </c>
      <c r="C41" s="59">
        <v>58062.3145</v>
      </c>
      <c r="D41" s="60" t="s">
        <v>65</v>
      </c>
      <c r="E41" s="35">
        <f t="shared" si="0"/>
        <v>19766.158095294362</v>
      </c>
      <c r="F41" s="62">
        <f t="shared" si="7"/>
        <v>19766.5</v>
      </c>
      <c r="G41">
        <f t="shared" si="1"/>
        <v>-0.11574500000278931</v>
      </c>
      <c r="K41">
        <f t="shared" si="6"/>
        <v>-0.11574500000278931</v>
      </c>
      <c r="O41">
        <f t="shared" ca="1" si="3"/>
        <v>-0.11493155008528372</v>
      </c>
      <c r="Q41" s="2">
        <f t="shared" si="4"/>
        <v>43043.8145</v>
      </c>
    </row>
    <row r="42" spans="1:22">
      <c r="A42" s="63" t="s">
        <v>134</v>
      </c>
      <c r="B42" s="64" t="s">
        <v>46</v>
      </c>
      <c r="C42" s="63">
        <v>59199.385999999999</v>
      </c>
      <c r="D42" s="63">
        <v>3.5000000000000001E-3</v>
      </c>
      <c r="E42" s="35">
        <f t="shared" si="0"/>
        <v>23125.00812335686</v>
      </c>
      <c r="F42" s="65">
        <f t="shared" si="7"/>
        <v>23125.5</v>
      </c>
      <c r="G42">
        <f t="shared" si="1"/>
        <v>-0.16651500000443775</v>
      </c>
      <c r="K42">
        <f t="shared" si="6"/>
        <v>-0.16651500000443775</v>
      </c>
      <c r="O42">
        <f t="shared" ca="1" si="3"/>
        <v>-0.16681260589052382</v>
      </c>
      <c r="Q42" s="2">
        <f t="shared" si="4"/>
        <v>44180.885999999999</v>
      </c>
    </row>
    <row r="43" spans="1:22">
      <c r="A43" s="63" t="s">
        <v>134</v>
      </c>
      <c r="B43" s="64" t="s">
        <v>46</v>
      </c>
      <c r="C43" s="63">
        <v>59446.669500000004</v>
      </c>
      <c r="D43" s="63">
        <v>3.5000000000000001E-3</v>
      </c>
      <c r="E43" s="35">
        <f t="shared" si="0"/>
        <v>23855.470711606071</v>
      </c>
      <c r="F43" s="65">
        <f t="shared" si="7"/>
        <v>23856</v>
      </c>
      <c r="G43">
        <f t="shared" si="1"/>
        <v>-0.17917999999917811</v>
      </c>
      <c r="K43">
        <f t="shared" si="6"/>
        <v>-0.17917999999917811</v>
      </c>
      <c r="O43">
        <f t="shared" ca="1" si="3"/>
        <v>-0.17809546128371462</v>
      </c>
      <c r="Q43" s="2">
        <f t="shared" si="4"/>
        <v>44428.169500000004</v>
      </c>
    </row>
    <row r="44" spans="1:22">
      <c r="A44" s="63" t="s">
        <v>134</v>
      </c>
      <c r="B44" s="64" t="s">
        <v>46</v>
      </c>
      <c r="C44" s="63">
        <v>59455.640500000001</v>
      </c>
      <c r="D44" s="63">
        <v>3.5000000000000001E-3</v>
      </c>
      <c r="E44" s="35">
        <f t="shared" si="0"/>
        <v>23881.970578678407</v>
      </c>
      <c r="F44" s="65">
        <f t="shared" si="7"/>
        <v>23882.5</v>
      </c>
      <c r="G44">
        <f t="shared" si="1"/>
        <v>-0.1792249999998603</v>
      </c>
      <c r="K44">
        <f t="shared" si="6"/>
        <v>-0.1792249999998603</v>
      </c>
      <c r="O44">
        <f t="shared" ca="1" si="3"/>
        <v>-0.17850476404609594</v>
      </c>
      <c r="Q44" s="2">
        <f t="shared" si="4"/>
        <v>44437.140500000001</v>
      </c>
    </row>
    <row r="45" spans="1:22">
      <c r="A45" s="5" t="s">
        <v>133</v>
      </c>
      <c r="C45" s="33">
        <v>59548.731599999999</v>
      </c>
      <c r="D45" s="33">
        <v>2.0000000000000001E-4</v>
      </c>
      <c r="E45" s="35">
        <f t="shared" si="0"/>
        <v>24156.956842820426</v>
      </c>
      <c r="F45" s="62">
        <f t="shared" si="7"/>
        <v>24157.5</v>
      </c>
      <c r="G45">
        <f t="shared" si="1"/>
        <v>-0.18387500000244472</v>
      </c>
      <c r="K45">
        <f t="shared" si="6"/>
        <v>-0.18387500000244472</v>
      </c>
      <c r="O45">
        <f t="shared" ca="1" si="3"/>
        <v>-0.18275224554250591</v>
      </c>
      <c r="Q45" s="2">
        <f t="shared" si="4"/>
        <v>44530.231599999999</v>
      </c>
    </row>
    <row r="46" spans="1:22">
      <c r="A46" s="63" t="s">
        <v>135</v>
      </c>
      <c r="B46" s="64" t="s">
        <v>46</v>
      </c>
      <c r="C46" s="63">
        <v>59489.493199999997</v>
      </c>
      <c r="D46" s="63">
        <v>3.5000000000000001E-3</v>
      </c>
      <c r="E46" s="35">
        <f t="shared" ref="E46:E58" si="8">+(C46-C$7)/C$8</f>
        <v>23981.969692494007</v>
      </c>
      <c r="F46" s="66">
        <f t="shared" ref="F46:F58" si="9">ROUND(2*E46,0)/2+0.5</f>
        <v>23982.5</v>
      </c>
      <c r="G46">
        <f t="shared" ref="G46:G58" si="10">+C46-(C$7+F46*C$8)</f>
        <v>-0.17952499999955762</v>
      </c>
      <c r="K46">
        <f t="shared" ref="K46:K58" si="11">+G46</f>
        <v>-0.17952499999955762</v>
      </c>
      <c r="O46">
        <f t="shared" ref="O46:O58" ca="1" si="12">+C$11+C$12*$F46</f>
        <v>-0.18004930277206321</v>
      </c>
      <c r="Q46" s="2">
        <f t="shared" ref="Q46:Q58" si="13">+C46-15018.5</f>
        <v>44470.993199999997</v>
      </c>
    </row>
    <row r="47" spans="1:22">
      <c r="A47" s="63" t="s">
        <v>135</v>
      </c>
      <c r="B47" s="64" t="s">
        <v>46</v>
      </c>
      <c r="C47" s="63">
        <v>59489.661500000002</v>
      </c>
      <c r="D47" s="63">
        <v>3.5000000000000001E-3</v>
      </c>
      <c r="E47" s="35">
        <f t="shared" si="8"/>
        <v>23982.466841934249</v>
      </c>
      <c r="F47" s="66">
        <f t="shared" si="9"/>
        <v>23983</v>
      </c>
      <c r="G47">
        <f t="shared" si="10"/>
        <v>-0.18048999999882653</v>
      </c>
      <c r="K47">
        <f t="shared" si="11"/>
        <v>-0.18048999999882653</v>
      </c>
      <c r="O47">
        <f t="shared" ca="1" si="12"/>
        <v>-0.18005702546569308</v>
      </c>
      <c r="Q47" s="2">
        <f t="shared" si="13"/>
        <v>44471.161500000002</v>
      </c>
      <c r="V47" s="66"/>
    </row>
    <row r="48" spans="1:22">
      <c r="A48" s="63" t="s">
        <v>135</v>
      </c>
      <c r="B48" s="64" t="s">
        <v>46</v>
      </c>
      <c r="C48" s="63">
        <v>59561.258000000002</v>
      </c>
      <c r="D48" s="63">
        <v>3.5000000000000001E-3</v>
      </c>
      <c r="E48" s="35">
        <f t="shared" si="8"/>
        <v>24193.959176439315</v>
      </c>
      <c r="F48" s="66">
        <f t="shared" si="9"/>
        <v>24194.5</v>
      </c>
      <c r="G48">
        <f t="shared" si="10"/>
        <v>-0.18308499999693595</v>
      </c>
      <c r="K48">
        <f t="shared" si="11"/>
        <v>-0.18308499999693595</v>
      </c>
      <c r="O48">
        <f t="shared" ca="1" si="12"/>
        <v>-0.18332372487111381</v>
      </c>
      <c r="Q48" s="2">
        <f t="shared" si="13"/>
        <v>44542.758000000002</v>
      </c>
    </row>
    <row r="49" spans="1:17">
      <c r="A49" s="63" t="s">
        <v>135</v>
      </c>
      <c r="B49" s="64" t="s">
        <v>46</v>
      </c>
      <c r="C49" s="63">
        <v>59561.426099999997</v>
      </c>
      <c r="D49" s="63">
        <v>3.5000000000000001E-3</v>
      </c>
      <c r="E49" s="35">
        <f t="shared" si="8"/>
        <v>24194.455735089938</v>
      </c>
      <c r="F49" s="66">
        <f t="shared" si="9"/>
        <v>24195</v>
      </c>
      <c r="G49">
        <f t="shared" si="10"/>
        <v>-0.18425000000570435</v>
      </c>
      <c r="K49">
        <f t="shared" si="11"/>
        <v>-0.18425000000570435</v>
      </c>
      <c r="O49">
        <f t="shared" ca="1" si="12"/>
        <v>-0.18333144756474362</v>
      </c>
      <c r="Q49" s="2">
        <f t="shared" si="13"/>
        <v>44542.926099999997</v>
      </c>
    </row>
    <row r="50" spans="1:17">
      <c r="A50" s="63" t="s">
        <v>135</v>
      </c>
      <c r="B50" s="64" t="s">
        <v>46</v>
      </c>
      <c r="C50" s="63">
        <v>59590.371099999997</v>
      </c>
      <c r="D50" s="63">
        <v>3.5000000000000001E-3</v>
      </c>
      <c r="E50" s="35">
        <f t="shared" si="8"/>
        <v>24279.957758544282</v>
      </c>
      <c r="F50" s="66">
        <f t="shared" si="9"/>
        <v>24280.5</v>
      </c>
      <c r="G50">
        <f t="shared" si="10"/>
        <v>-0.183565000006638</v>
      </c>
      <c r="K50">
        <f t="shared" si="11"/>
        <v>-0.183565000006638</v>
      </c>
      <c r="O50">
        <f t="shared" ca="1" si="12"/>
        <v>-0.18465202817544563</v>
      </c>
      <c r="Q50" s="2">
        <f t="shared" si="13"/>
        <v>44571.871099999997</v>
      </c>
    </row>
    <row r="51" spans="1:17">
      <c r="A51" s="63" t="s">
        <v>135</v>
      </c>
      <c r="B51" s="64" t="s">
        <v>46</v>
      </c>
      <c r="C51" s="63">
        <v>59595.278400000003</v>
      </c>
      <c r="D51" s="63">
        <v>3.5000000000000001E-3</v>
      </c>
      <c r="E51" s="35">
        <f t="shared" si="8"/>
        <v>24294.45366732639</v>
      </c>
      <c r="F51" s="66">
        <f t="shared" si="9"/>
        <v>24295</v>
      </c>
      <c r="G51">
        <f t="shared" si="10"/>
        <v>-0.18494999999529682</v>
      </c>
      <c r="K51">
        <f t="shared" si="11"/>
        <v>-0.18494999999529682</v>
      </c>
      <c r="O51">
        <f t="shared" ca="1" si="12"/>
        <v>-0.18487598629071089</v>
      </c>
      <c r="Q51" s="2">
        <f t="shared" si="13"/>
        <v>44576.778400000003</v>
      </c>
    </row>
    <row r="52" spans="1:17">
      <c r="A52" s="63" t="s">
        <v>135</v>
      </c>
      <c r="B52" s="64" t="s">
        <v>46</v>
      </c>
      <c r="C52" s="63">
        <v>59806.681499999999</v>
      </c>
      <c r="D52" s="63">
        <v>3.5000000000000001E-3</v>
      </c>
      <c r="E52" s="35">
        <f t="shared" si="8"/>
        <v>24918.927421498829</v>
      </c>
      <c r="F52" s="66">
        <f t="shared" si="9"/>
        <v>24919.5</v>
      </c>
      <c r="G52">
        <f t="shared" si="10"/>
        <v>-0.19383500000549247</v>
      </c>
      <c r="K52">
        <f t="shared" si="11"/>
        <v>-0.19383500000549247</v>
      </c>
      <c r="O52">
        <f t="shared" ca="1" si="12"/>
        <v>-0.19452163063437639</v>
      </c>
      <c r="Q52" s="2">
        <f t="shared" si="13"/>
        <v>44788.181499999999</v>
      </c>
    </row>
    <row r="53" spans="1:17">
      <c r="A53" s="63" t="s">
        <v>135</v>
      </c>
      <c r="B53" s="64" t="s">
        <v>46</v>
      </c>
      <c r="C53" s="63">
        <v>59827.667600000001</v>
      </c>
      <c r="D53" s="63">
        <v>3.5000000000000001E-3</v>
      </c>
      <c r="E53" s="35">
        <f t="shared" si="8"/>
        <v>24980.919268602487</v>
      </c>
      <c r="F53" s="66">
        <f t="shared" si="9"/>
        <v>24981.5</v>
      </c>
      <c r="G53">
        <f t="shared" si="10"/>
        <v>-0.19659500000125263</v>
      </c>
      <c r="K53">
        <f t="shared" si="11"/>
        <v>-0.19659500000125263</v>
      </c>
      <c r="O53">
        <f t="shared" ca="1" si="12"/>
        <v>-0.19547924464447614</v>
      </c>
      <c r="Q53" s="2">
        <f t="shared" si="13"/>
        <v>44809.167600000001</v>
      </c>
    </row>
    <row r="54" spans="1:17">
      <c r="A54" s="63" t="s">
        <v>135</v>
      </c>
      <c r="B54" s="64" t="s">
        <v>46</v>
      </c>
      <c r="C54" s="63">
        <v>59854.581100000003</v>
      </c>
      <c r="D54" s="63">
        <v>3.5000000000000001E-3</v>
      </c>
      <c r="E54" s="35">
        <f t="shared" si="8"/>
        <v>25060.420346793497</v>
      </c>
      <c r="F54" s="66">
        <f t="shared" si="9"/>
        <v>25061</v>
      </c>
      <c r="G54">
        <f t="shared" si="10"/>
        <v>-0.1962299999941024</v>
      </c>
      <c r="K54">
        <f t="shared" si="11"/>
        <v>-0.1962299999941024</v>
      </c>
      <c r="O54">
        <f t="shared" ca="1" si="12"/>
        <v>-0.19670715293162006</v>
      </c>
      <c r="Q54" s="2">
        <f t="shared" si="13"/>
        <v>44836.081100000003</v>
      </c>
    </row>
    <row r="55" spans="1:17">
      <c r="A55" s="63" t="s">
        <v>135</v>
      </c>
      <c r="B55" s="64" t="s">
        <v>46</v>
      </c>
      <c r="C55" s="63">
        <v>59883.523200000003</v>
      </c>
      <c r="D55" s="63">
        <v>3.5000000000000001E-3</v>
      </c>
      <c r="E55" s="35">
        <f t="shared" si="8"/>
        <v>25145.913803798787</v>
      </c>
      <c r="F55" s="66">
        <f t="shared" si="9"/>
        <v>25146.5</v>
      </c>
      <c r="G55">
        <f t="shared" si="10"/>
        <v>-0.19844499999453546</v>
      </c>
      <c r="K55">
        <f t="shared" si="11"/>
        <v>-0.19844499999453546</v>
      </c>
      <c r="O55">
        <f t="shared" ca="1" si="12"/>
        <v>-0.19802773354232206</v>
      </c>
      <c r="Q55" s="2">
        <f t="shared" si="13"/>
        <v>44865.023200000003</v>
      </c>
    </row>
    <row r="56" spans="1:17">
      <c r="A56" s="63" t="s">
        <v>135</v>
      </c>
      <c r="B56" s="64" t="s">
        <v>46</v>
      </c>
      <c r="C56" s="63">
        <v>59883.693399999996</v>
      </c>
      <c r="D56" s="63">
        <v>3.5000000000000001E-3</v>
      </c>
      <c r="E56" s="35">
        <f t="shared" si="8"/>
        <v>25146.416565740099</v>
      </c>
      <c r="F56" s="66">
        <f t="shared" si="9"/>
        <v>25147</v>
      </c>
      <c r="G56">
        <f t="shared" si="10"/>
        <v>-0.19751000000542263</v>
      </c>
      <c r="K56">
        <f t="shared" si="11"/>
        <v>-0.19751000000542263</v>
      </c>
      <c r="O56">
        <f t="shared" ca="1" si="12"/>
        <v>-0.19803545623595192</v>
      </c>
      <c r="Q56" s="2">
        <f t="shared" si="13"/>
        <v>44865.193399999996</v>
      </c>
    </row>
    <row r="57" spans="1:17">
      <c r="A57" s="63" t="s">
        <v>135</v>
      </c>
      <c r="B57" s="64" t="s">
        <v>46</v>
      </c>
      <c r="C57" s="63">
        <v>59933.285199999998</v>
      </c>
      <c r="D57" s="63">
        <v>3.5000000000000001E-3</v>
      </c>
      <c r="E57" s="35">
        <f t="shared" si="8"/>
        <v>25292.908161758183</v>
      </c>
      <c r="F57" s="66">
        <f t="shared" si="9"/>
        <v>25293.5</v>
      </c>
      <c r="G57">
        <f t="shared" si="10"/>
        <v>-0.20035500000085449</v>
      </c>
      <c r="K57">
        <f t="shared" si="11"/>
        <v>-0.20035500000085449</v>
      </c>
      <c r="O57">
        <f t="shared" ca="1" si="12"/>
        <v>-0.20029820546949395</v>
      </c>
      <c r="Q57" s="2">
        <f t="shared" si="13"/>
        <v>44914.785199999998</v>
      </c>
    </row>
    <row r="58" spans="1:17">
      <c r="A58" s="63" t="s">
        <v>135</v>
      </c>
      <c r="B58" s="64" t="s">
        <v>46</v>
      </c>
      <c r="C58" s="63">
        <v>59933.454299999998</v>
      </c>
      <c r="D58" s="63">
        <v>3.5000000000000001E-3</v>
      </c>
      <c r="E58" s="35">
        <f t="shared" si="8"/>
        <v>25293.407674356771</v>
      </c>
      <c r="F58" s="66">
        <f t="shared" si="9"/>
        <v>25294</v>
      </c>
      <c r="G58">
        <f t="shared" si="10"/>
        <v>-0.20051999999850523</v>
      </c>
      <c r="K58">
        <f t="shared" si="11"/>
        <v>-0.20051999999850523</v>
      </c>
      <c r="O58">
        <f t="shared" ca="1" si="12"/>
        <v>-0.20030592816312381</v>
      </c>
      <c r="Q58" s="2">
        <f t="shared" si="13"/>
        <v>44914.954299999998</v>
      </c>
    </row>
    <row r="59" spans="1:17">
      <c r="C59" s="10"/>
      <c r="D59" s="10"/>
    </row>
    <row r="60" spans="1:17">
      <c r="C60" s="10"/>
      <c r="D60" s="10"/>
    </row>
    <row r="61" spans="1:17">
      <c r="C61" s="10"/>
      <c r="D61" s="10"/>
    </row>
    <row r="62" spans="1:17">
      <c r="C62" s="10"/>
      <c r="D62" s="10"/>
    </row>
    <row r="63" spans="1:17">
      <c r="C63" s="10"/>
      <c r="D63" s="10"/>
    </row>
    <row r="64" spans="1:17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</sheetData>
  <phoneticPr fontId="8" type="noConversion"/>
  <hyperlinks>
    <hyperlink ref="H3586" r:id="rId1" display="http://vsolj.cetus-net.org/bulletin.html" xr:uid="{00000000-0004-0000-0000-000000000000}"/>
    <hyperlink ref="H64910" r:id="rId2" display="http://vsolj.cetus-net.org/bulletin.html" xr:uid="{00000000-0004-0000-0000-000001000000}"/>
    <hyperlink ref="H64903" r:id="rId3" display="http://vsolj.cetus-net.org/bulletin.html" xr:uid="{00000000-0004-0000-0000-000002000000}"/>
    <hyperlink ref="AP2400" r:id="rId4" display="http://cdsbib.u-strasbg.fr/cgi-bin/cdsbib?1990RMxAA..21..381G" xr:uid="{00000000-0004-0000-0000-000003000000}"/>
    <hyperlink ref="AP2403" r:id="rId5" display="http://cdsbib.u-strasbg.fr/cgi-bin/cdsbib?1990RMxAA..21..381G" xr:uid="{00000000-0004-0000-0000-000004000000}"/>
    <hyperlink ref="AP2401" r:id="rId6" display="http://cdsbib.u-strasbg.fr/cgi-bin/cdsbib?1990RMxAA..21..381G" xr:uid="{00000000-0004-0000-0000-000005000000}"/>
    <hyperlink ref="AP2379" r:id="rId7" display="http://cdsbib.u-strasbg.fr/cgi-bin/cdsbib?1990RMxAA..21..381G" xr:uid="{00000000-0004-0000-0000-000006000000}"/>
    <hyperlink ref="I64910" r:id="rId8" display="http://vsolj.cetus-net.org/bulletin.html" xr:uid="{00000000-0004-0000-0000-000007000000}"/>
    <hyperlink ref="AQ2513" r:id="rId9" display="http://cdsbib.u-strasbg.fr/cgi-bin/cdsbib?1990RMxAA..21..381G" xr:uid="{00000000-0004-0000-0000-000008000000}"/>
    <hyperlink ref="AQ782" r:id="rId10" display="http://cdsbib.u-strasbg.fr/cgi-bin/cdsbib?1990RMxAA..21..381G" xr:uid="{00000000-0004-0000-0000-000009000000}"/>
    <hyperlink ref="AQ2514" r:id="rId11" display="http://cdsbib.u-strasbg.fr/cgi-bin/cdsbib?1990RMxAA..21..381G" xr:uid="{00000000-0004-0000-0000-00000A000000}"/>
    <hyperlink ref="H64907" r:id="rId12" display="https://www.aavso.org/ejaavso" xr:uid="{00000000-0004-0000-0000-00000B000000}"/>
  </hyperlinks>
  <pageMargins left="0.75" right="0.75" top="1" bottom="1" header="0.5" footer="0.5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46"/>
  <sheetViews>
    <sheetView workbookViewId="0">
      <selection activeCell="A20" sqref="A20:D25"/>
    </sheetView>
  </sheetViews>
  <sheetFormatPr defaultRowHeight="12.75"/>
  <cols>
    <col min="1" max="1" width="16.28515625" style="10" customWidth="1"/>
    <col min="2" max="2" width="4.42578125" style="12" customWidth="1"/>
    <col min="3" max="3" width="12.7109375" style="10" customWidth="1"/>
    <col min="4" max="4" width="3.5703125" style="12" customWidth="1"/>
    <col min="5" max="5" width="12.42578125" style="12" customWidth="1"/>
    <col min="6" max="6" width="5.42578125" style="12" customWidth="1"/>
    <col min="7" max="7" width="12" style="12" customWidth="1"/>
    <col min="8" max="8" width="7.28515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6" t="s">
        <v>56</v>
      </c>
      <c r="I1" s="37" t="s">
        <v>57</v>
      </c>
      <c r="J1" s="38" t="s">
        <v>58</v>
      </c>
    </row>
    <row r="2" spans="1:16">
      <c r="I2" s="39" t="s">
        <v>59</v>
      </c>
      <c r="J2" s="40" t="s">
        <v>60</v>
      </c>
    </row>
    <row r="3" spans="1:16">
      <c r="A3" s="41" t="s">
        <v>61</v>
      </c>
      <c r="I3" s="39" t="s">
        <v>62</v>
      </c>
      <c r="J3" s="40" t="s">
        <v>63</v>
      </c>
    </row>
    <row r="4" spans="1:16">
      <c r="I4" s="39" t="s">
        <v>64</v>
      </c>
      <c r="J4" s="40" t="s">
        <v>63</v>
      </c>
    </row>
    <row r="5" spans="1:16" ht="13.5" thickBot="1">
      <c r="I5" s="42" t="s">
        <v>65</v>
      </c>
      <c r="J5" s="43" t="s">
        <v>66</v>
      </c>
    </row>
    <row r="10" spans="1:16" ht="13.5" thickBot="1"/>
    <row r="11" spans="1:16" ht="12.75" customHeight="1" thickBot="1">
      <c r="A11" s="10" t="str">
        <f t="shared" ref="A11:A25" si="0">P11</f>
        <v> ISBV 5871 </v>
      </c>
      <c r="B11" s="3" t="str">
        <f t="shared" ref="B11:B25" si="1">IF(H11=INT(H11),"I","II")</f>
        <v>II</v>
      </c>
      <c r="C11" s="10">
        <f t="shared" ref="C11:C25" si="2">1*G11</f>
        <v>54821.712</v>
      </c>
      <c r="D11" s="12" t="str">
        <f t="shared" ref="D11:D25" si="3">VLOOKUP(F11,I$1:J$5,2,FALSE)</f>
        <v>vis</v>
      </c>
      <c r="E11" s="44">
        <f>VLOOKUP(C11,Active!C$21:E$970,3,FALSE)</f>
        <v>10193.586978997428</v>
      </c>
      <c r="F11" s="3" t="s">
        <v>65</v>
      </c>
      <c r="G11" s="12" t="str">
        <f t="shared" ref="G11:G25" si="4">MID(I11,3,LEN(I11)-3)</f>
        <v>54821.7120</v>
      </c>
      <c r="H11" s="10">
        <f t="shared" ref="H11:H25" si="5">1*K11</f>
        <v>10193.5</v>
      </c>
      <c r="I11" s="45" t="s">
        <v>77</v>
      </c>
      <c r="J11" s="46" t="s">
        <v>78</v>
      </c>
      <c r="K11" s="45">
        <v>10193.5</v>
      </c>
      <c r="L11" s="45" t="s">
        <v>79</v>
      </c>
      <c r="M11" s="46" t="s">
        <v>70</v>
      </c>
      <c r="N11" s="46" t="s">
        <v>65</v>
      </c>
      <c r="O11" s="47" t="s">
        <v>80</v>
      </c>
      <c r="P11" s="47" t="s">
        <v>81</v>
      </c>
    </row>
    <row r="12" spans="1:16" ht="12.75" customHeight="1" thickBot="1">
      <c r="A12" s="10" t="str">
        <f t="shared" si="0"/>
        <v> ISBV 5960 </v>
      </c>
      <c r="B12" s="3" t="str">
        <f t="shared" si="1"/>
        <v>II</v>
      </c>
      <c r="C12" s="10">
        <f t="shared" si="2"/>
        <v>55532.5959</v>
      </c>
      <c r="D12" s="12" t="str">
        <f t="shared" si="3"/>
        <v>vis</v>
      </c>
      <c r="E12" s="44">
        <f>VLOOKUP(C12,Active!C$21:E$970,3,FALSE)</f>
        <v>12293.501019112044</v>
      </c>
      <c r="F12" s="3" t="s">
        <v>65</v>
      </c>
      <c r="G12" s="12" t="str">
        <f t="shared" si="4"/>
        <v>55532.5959</v>
      </c>
      <c r="H12" s="10">
        <f t="shared" si="5"/>
        <v>12293.5</v>
      </c>
      <c r="I12" s="45" t="s">
        <v>87</v>
      </c>
      <c r="J12" s="46" t="s">
        <v>88</v>
      </c>
      <c r="K12" s="45">
        <v>12293.5</v>
      </c>
      <c r="L12" s="45" t="s">
        <v>89</v>
      </c>
      <c r="M12" s="46" t="s">
        <v>70</v>
      </c>
      <c r="N12" s="46" t="s">
        <v>65</v>
      </c>
      <c r="O12" s="47" t="s">
        <v>80</v>
      </c>
      <c r="P12" s="47" t="s">
        <v>90</v>
      </c>
    </row>
    <row r="13" spans="1:16" ht="12.75" customHeight="1" thickBot="1">
      <c r="A13" s="10" t="str">
        <f t="shared" si="0"/>
        <v> ISBV 5960 </v>
      </c>
      <c r="B13" s="3" t="str">
        <f t="shared" si="1"/>
        <v>I</v>
      </c>
      <c r="C13" s="10">
        <f t="shared" si="2"/>
        <v>55532.763800000001</v>
      </c>
      <c r="D13" s="12" t="str">
        <f t="shared" si="3"/>
        <v>vis</v>
      </c>
      <c r="E13" s="44">
        <f>VLOOKUP(C13,Active!C$21:E$970,3,FALSE)</f>
        <v>12293.99698697309</v>
      </c>
      <c r="F13" s="3" t="s">
        <v>65</v>
      </c>
      <c r="G13" s="12" t="str">
        <f t="shared" si="4"/>
        <v>55532.7638</v>
      </c>
      <c r="H13" s="10">
        <f t="shared" si="5"/>
        <v>12294</v>
      </c>
      <c r="I13" s="45" t="s">
        <v>91</v>
      </c>
      <c r="J13" s="46" t="s">
        <v>92</v>
      </c>
      <c r="K13" s="45">
        <v>12294</v>
      </c>
      <c r="L13" s="45" t="s">
        <v>93</v>
      </c>
      <c r="M13" s="46" t="s">
        <v>70</v>
      </c>
      <c r="N13" s="46" t="s">
        <v>65</v>
      </c>
      <c r="O13" s="47" t="s">
        <v>80</v>
      </c>
      <c r="P13" s="47" t="s">
        <v>90</v>
      </c>
    </row>
    <row r="14" spans="1:16" ht="12.75" customHeight="1" thickBot="1">
      <c r="A14" s="10" t="str">
        <f t="shared" si="0"/>
        <v> ISBV 6011 </v>
      </c>
      <c r="B14" s="3" t="str">
        <f t="shared" si="1"/>
        <v>I</v>
      </c>
      <c r="C14" s="10">
        <f t="shared" si="2"/>
        <v>55843.862999999998</v>
      </c>
      <c r="D14" s="12" t="str">
        <f t="shared" si="3"/>
        <v>vis</v>
      </c>
      <c r="E14" s="44">
        <f>VLOOKUP(C14,Active!C$21:E$970,3,FALSE)</f>
        <v>13212.967831506801</v>
      </c>
      <c r="F14" s="3" t="s">
        <v>65</v>
      </c>
      <c r="G14" s="12" t="str">
        <f t="shared" si="4"/>
        <v>55843.8630</v>
      </c>
      <c r="H14" s="10">
        <f t="shared" si="5"/>
        <v>13213</v>
      </c>
      <c r="I14" s="45" t="s">
        <v>94</v>
      </c>
      <c r="J14" s="46" t="s">
        <v>95</v>
      </c>
      <c r="K14" s="45">
        <v>13213</v>
      </c>
      <c r="L14" s="45" t="s">
        <v>96</v>
      </c>
      <c r="M14" s="46" t="s">
        <v>70</v>
      </c>
      <c r="N14" s="46" t="s">
        <v>97</v>
      </c>
      <c r="O14" s="47" t="s">
        <v>80</v>
      </c>
      <c r="P14" s="47" t="s">
        <v>98</v>
      </c>
    </row>
    <row r="15" spans="1:16" ht="12.75" customHeight="1" thickBot="1">
      <c r="A15" s="10" t="str">
        <f t="shared" si="0"/>
        <v>OEJV 0160 </v>
      </c>
      <c r="B15" s="3" t="str">
        <f t="shared" si="1"/>
        <v>II</v>
      </c>
      <c r="C15" s="10">
        <f t="shared" si="2"/>
        <v>56155.463649999998</v>
      </c>
      <c r="D15" s="12" t="str">
        <f t="shared" si="3"/>
        <v>vis</v>
      </c>
      <c r="E15" s="44">
        <f>VLOOKUP(C15,Active!C$21:E$970,3,FALSE)</f>
        <v>14133.41993324077</v>
      </c>
      <c r="F15" s="3" t="s">
        <v>65</v>
      </c>
      <c r="G15" s="12" t="str">
        <f t="shared" si="4"/>
        <v>56155.46365</v>
      </c>
      <c r="H15" s="10">
        <f t="shared" si="5"/>
        <v>14133.5</v>
      </c>
      <c r="I15" s="45" t="s">
        <v>112</v>
      </c>
      <c r="J15" s="46" t="s">
        <v>113</v>
      </c>
      <c r="K15" s="45" t="s">
        <v>114</v>
      </c>
      <c r="L15" s="45" t="s">
        <v>115</v>
      </c>
      <c r="M15" s="46" t="s">
        <v>70</v>
      </c>
      <c r="N15" s="46" t="s">
        <v>46</v>
      </c>
      <c r="O15" s="47" t="s">
        <v>116</v>
      </c>
      <c r="P15" s="48" t="s">
        <v>117</v>
      </c>
    </row>
    <row r="16" spans="1:16" ht="12.75" customHeight="1" thickBot="1">
      <c r="A16" s="10" t="str">
        <f t="shared" si="0"/>
        <v>OEJV 0160 </v>
      </c>
      <c r="B16" s="3" t="str">
        <f t="shared" si="1"/>
        <v>II</v>
      </c>
      <c r="C16" s="10">
        <f t="shared" si="2"/>
        <v>56155.463649999998</v>
      </c>
      <c r="D16" s="12" t="str">
        <f t="shared" si="3"/>
        <v>vis</v>
      </c>
      <c r="E16" s="44">
        <f>VLOOKUP(C16,Active!C$21:E$970,3,FALSE)</f>
        <v>14133.41993324077</v>
      </c>
      <c r="F16" s="3" t="s">
        <v>65</v>
      </c>
      <c r="G16" s="12" t="str">
        <f t="shared" si="4"/>
        <v>56155.46365</v>
      </c>
      <c r="H16" s="10">
        <f t="shared" si="5"/>
        <v>14133.5</v>
      </c>
      <c r="I16" s="45" t="s">
        <v>112</v>
      </c>
      <c r="J16" s="46" t="s">
        <v>113</v>
      </c>
      <c r="K16" s="45" t="s">
        <v>114</v>
      </c>
      <c r="L16" s="45" t="s">
        <v>115</v>
      </c>
      <c r="M16" s="46" t="s">
        <v>70</v>
      </c>
      <c r="N16" s="46" t="s">
        <v>65</v>
      </c>
      <c r="O16" s="47" t="s">
        <v>116</v>
      </c>
      <c r="P16" s="48" t="s">
        <v>117</v>
      </c>
    </row>
    <row r="17" spans="1:16" ht="12.75" customHeight="1" thickBot="1">
      <c r="A17" s="10" t="str">
        <f t="shared" si="0"/>
        <v>OEJV 0160 </v>
      </c>
      <c r="B17" s="3" t="str">
        <f t="shared" si="1"/>
        <v>II</v>
      </c>
      <c r="C17" s="10">
        <f t="shared" si="2"/>
        <v>56155.464249999997</v>
      </c>
      <c r="D17" s="12" t="str">
        <f t="shared" si="3"/>
        <v>vis</v>
      </c>
      <c r="E17" s="44">
        <f>VLOOKUP(C17,Active!C$21:E$970,3,FALSE)</f>
        <v>14133.421705609539</v>
      </c>
      <c r="F17" s="3" t="s">
        <v>65</v>
      </c>
      <c r="G17" s="12" t="str">
        <f t="shared" si="4"/>
        <v>56155.46425</v>
      </c>
      <c r="H17" s="10">
        <f t="shared" si="5"/>
        <v>14133.5</v>
      </c>
      <c r="I17" s="45" t="s">
        <v>118</v>
      </c>
      <c r="J17" s="46" t="s">
        <v>119</v>
      </c>
      <c r="K17" s="45" t="s">
        <v>114</v>
      </c>
      <c r="L17" s="45" t="s">
        <v>120</v>
      </c>
      <c r="M17" s="46" t="s">
        <v>70</v>
      </c>
      <c r="N17" s="46" t="s">
        <v>71</v>
      </c>
      <c r="O17" s="47" t="s">
        <v>116</v>
      </c>
      <c r="P17" s="48" t="s">
        <v>117</v>
      </c>
    </row>
    <row r="18" spans="1:16" ht="12.75" customHeight="1" thickBot="1">
      <c r="A18" s="10" t="str">
        <f t="shared" si="0"/>
        <v>IBVS 6042 </v>
      </c>
      <c r="B18" s="3" t="str">
        <f t="shared" si="1"/>
        <v>II</v>
      </c>
      <c r="C18" s="10">
        <f t="shared" si="2"/>
        <v>56202.856299999999</v>
      </c>
      <c r="D18" s="12" t="str">
        <f t="shared" si="3"/>
        <v>vis</v>
      </c>
      <c r="E18" s="44">
        <f>VLOOKUP(C18,Active!C$21:E$970,3,FALSE)</f>
        <v>14273.415354621449</v>
      </c>
      <c r="F18" s="3" t="s">
        <v>65</v>
      </c>
      <c r="G18" s="12" t="str">
        <f t="shared" si="4"/>
        <v>56202.8563</v>
      </c>
      <c r="H18" s="10">
        <f t="shared" si="5"/>
        <v>14273.5</v>
      </c>
      <c r="I18" s="45" t="s">
        <v>121</v>
      </c>
      <c r="J18" s="46" t="s">
        <v>122</v>
      </c>
      <c r="K18" s="45" t="s">
        <v>123</v>
      </c>
      <c r="L18" s="45" t="s">
        <v>124</v>
      </c>
      <c r="M18" s="46" t="s">
        <v>70</v>
      </c>
      <c r="N18" s="46" t="s">
        <v>65</v>
      </c>
      <c r="O18" s="47" t="s">
        <v>80</v>
      </c>
      <c r="P18" s="48" t="s">
        <v>125</v>
      </c>
    </row>
    <row r="19" spans="1:16" ht="12.75" customHeight="1" thickBot="1">
      <c r="A19" s="10" t="str">
        <f t="shared" si="0"/>
        <v>BAVM 239 </v>
      </c>
      <c r="B19" s="3" t="str">
        <f t="shared" si="1"/>
        <v>II</v>
      </c>
      <c r="C19" s="10">
        <f t="shared" si="2"/>
        <v>56932.354200000002</v>
      </c>
      <c r="D19" s="12" t="str">
        <f t="shared" si="3"/>
        <v>vis</v>
      </c>
      <c r="E19" s="44">
        <f>VLOOKUP(C19,Active!C$21:E$970,3,FALSE)</f>
        <v>16428.314181904119</v>
      </c>
      <c r="F19" s="3" t="s">
        <v>65</v>
      </c>
      <c r="G19" s="12" t="str">
        <f t="shared" si="4"/>
        <v>56932.3542</v>
      </c>
      <c r="H19" s="10">
        <f t="shared" si="5"/>
        <v>16428.5</v>
      </c>
      <c r="I19" s="45" t="s">
        <v>126</v>
      </c>
      <c r="J19" s="46" t="s">
        <v>127</v>
      </c>
      <c r="K19" s="45" t="s">
        <v>128</v>
      </c>
      <c r="L19" s="45" t="s">
        <v>129</v>
      </c>
      <c r="M19" s="46" t="s">
        <v>70</v>
      </c>
      <c r="N19" s="46" t="s">
        <v>130</v>
      </c>
      <c r="O19" s="47" t="s">
        <v>131</v>
      </c>
      <c r="P19" s="48" t="s">
        <v>132</v>
      </c>
    </row>
    <row r="20" spans="1:16" ht="12.75" customHeight="1" thickBot="1">
      <c r="A20" s="10" t="str">
        <f t="shared" si="0"/>
        <v>OEJV 0094 </v>
      </c>
      <c r="B20" s="3" t="str">
        <f t="shared" si="1"/>
        <v>I</v>
      </c>
      <c r="C20" s="10">
        <f t="shared" si="2"/>
        <v>54384.525399999999</v>
      </c>
      <c r="D20" s="12" t="str">
        <f t="shared" si="3"/>
        <v>vis</v>
      </c>
      <c r="E20" s="44" t="e">
        <f>VLOOKUP(C20,Active!C$21:E$970,3,FALSE)</f>
        <v>#N/A</v>
      </c>
      <c r="F20" s="3" t="s">
        <v>65</v>
      </c>
      <c r="G20" s="12" t="str">
        <f t="shared" si="4"/>
        <v>54384.5254</v>
      </c>
      <c r="H20" s="10">
        <f t="shared" si="5"/>
        <v>8902</v>
      </c>
      <c r="I20" s="45" t="s">
        <v>67</v>
      </c>
      <c r="J20" s="46" t="s">
        <v>68</v>
      </c>
      <c r="K20" s="45">
        <v>8902</v>
      </c>
      <c r="L20" s="45" t="s">
        <v>69</v>
      </c>
      <c r="M20" s="46" t="s">
        <v>70</v>
      </c>
      <c r="N20" s="46" t="s">
        <v>71</v>
      </c>
      <c r="O20" s="47" t="s">
        <v>72</v>
      </c>
      <c r="P20" s="48" t="s">
        <v>73</v>
      </c>
    </row>
    <row r="21" spans="1:16" ht="12.75" customHeight="1" thickBot="1">
      <c r="A21" s="10" t="str">
        <f t="shared" si="0"/>
        <v>OEJV 0094 </v>
      </c>
      <c r="B21" s="3" t="str">
        <f t="shared" si="1"/>
        <v>I</v>
      </c>
      <c r="C21" s="10">
        <f t="shared" si="2"/>
        <v>54387.569799999997</v>
      </c>
      <c r="D21" s="12" t="str">
        <f t="shared" si="3"/>
        <v>vis</v>
      </c>
      <c r="E21" s="44" t="e">
        <f>VLOOKUP(C21,Active!C$21:E$970,3,FALSE)</f>
        <v>#N/A</v>
      </c>
      <c r="F21" s="3" t="s">
        <v>65</v>
      </c>
      <c r="G21" s="12" t="str">
        <f t="shared" si="4"/>
        <v>54387.5698</v>
      </c>
      <c r="H21" s="10">
        <f t="shared" si="5"/>
        <v>8911</v>
      </c>
      <c r="I21" s="45" t="s">
        <v>74</v>
      </c>
      <c r="J21" s="46" t="s">
        <v>75</v>
      </c>
      <c r="K21" s="45">
        <v>8911</v>
      </c>
      <c r="L21" s="45" t="s">
        <v>76</v>
      </c>
      <c r="M21" s="46" t="s">
        <v>70</v>
      </c>
      <c r="N21" s="46" t="s">
        <v>71</v>
      </c>
      <c r="O21" s="47" t="s">
        <v>72</v>
      </c>
      <c r="P21" s="48" t="s">
        <v>73</v>
      </c>
    </row>
    <row r="22" spans="1:16" ht="12.75" customHeight="1" thickBot="1">
      <c r="A22" s="10" t="str">
        <f t="shared" si="0"/>
        <v>OEJV 0137 </v>
      </c>
      <c r="B22" s="3" t="str">
        <f t="shared" si="1"/>
        <v>II</v>
      </c>
      <c r="C22" s="10">
        <f t="shared" si="2"/>
        <v>55515.329100000003</v>
      </c>
      <c r="D22" s="12" t="str">
        <f t="shared" si="3"/>
        <v>vis</v>
      </c>
      <c r="E22" s="44" t="e">
        <f>VLOOKUP(C22,Active!C$21:E$970,3,FALSE)</f>
        <v>#N/A</v>
      </c>
      <c r="F22" s="3" t="s">
        <v>65</v>
      </c>
      <c r="G22" s="12" t="str">
        <f t="shared" si="4"/>
        <v>55515.3291</v>
      </c>
      <c r="H22" s="10">
        <f t="shared" si="5"/>
        <v>12242.5</v>
      </c>
      <c r="I22" s="45" t="s">
        <v>82</v>
      </c>
      <c r="J22" s="46" t="s">
        <v>83</v>
      </c>
      <c r="K22" s="45">
        <v>12242.5</v>
      </c>
      <c r="L22" s="45" t="s">
        <v>84</v>
      </c>
      <c r="M22" s="46" t="s">
        <v>70</v>
      </c>
      <c r="N22" s="46" t="s">
        <v>57</v>
      </c>
      <c r="O22" s="47" t="s">
        <v>85</v>
      </c>
      <c r="P22" s="48" t="s">
        <v>86</v>
      </c>
    </row>
    <row r="23" spans="1:16" ht="12.75" customHeight="1" thickBot="1">
      <c r="A23" s="10" t="str">
        <f t="shared" si="0"/>
        <v>BAVM 225 </v>
      </c>
      <c r="B23" s="3" t="str">
        <f t="shared" si="1"/>
        <v>I</v>
      </c>
      <c r="C23" s="10">
        <f t="shared" si="2"/>
        <v>55850.292000000001</v>
      </c>
      <c r="D23" s="12" t="str">
        <f t="shared" si="3"/>
        <v>vis</v>
      </c>
      <c r="E23" s="44">
        <f>VLOOKUP(C23,Active!C$21:E$970,3,FALSE)</f>
        <v>13231.958762886601</v>
      </c>
      <c r="F23" s="3" t="s">
        <v>65</v>
      </c>
      <c r="G23" s="12" t="str">
        <f t="shared" si="4"/>
        <v>55850.2920</v>
      </c>
      <c r="H23" s="10">
        <f t="shared" si="5"/>
        <v>13232</v>
      </c>
      <c r="I23" s="45" t="s">
        <v>99</v>
      </c>
      <c r="J23" s="46" t="s">
        <v>100</v>
      </c>
      <c r="K23" s="45">
        <v>13232</v>
      </c>
      <c r="L23" s="45" t="s">
        <v>101</v>
      </c>
      <c r="M23" s="46" t="s">
        <v>70</v>
      </c>
      <c r="N23" s="46" t="s">
        <v>102</v>
      </c>
      <c r="O23" s="47" t="s">
        <v>103</v>
      </c>
      <c r="P23" s="48" t="s">
        <v>104</v>
      </c>
    </row>
    <row r="24" spans="1:16" ht="12.75" customHeight="1" thickBot="1">
      <c r="A24" s="10" t="str">
        <f t="shared" si="0"/>
        <v>BAVM 225 </v>
      </c>
      <c r="B24" s="3" t="str">
        <f t="shared" si="1"/>
        <v>II</v>
      </c>
      <c r="C24" s="10">
        <f t="shared" si="2"/>
        <v>55850.4611</v>
      </c>
      <c r="D24" s="12" t="str">
        <f t="shared" si="3"/>
        <v>vis</v>
      </c>
      <c r="E24" s="44">
        <f>VLOOKUP(C24,Active!C$21:E$970,3,FALSE)</f>
        <v>13232.458275485185</v>
      </c>
      <c r="F24" s="3" t="s">
        <v>65</v>
      </c>
      <c r="G24" s="12" t="str">
        <f t="shared" si="4"/>
        <v>55850.4611</v>
      </c>
      <c r="H24" s="10">
        <f t="shared" si="5"/>
        <v>13232.5</v>
      </c>
      <c r="I24" s="45" t="s">
        <v>105</v>
      </c>
      <c r="J24" s="46" t="s">
        <v>106</v>
      </c>
      <c r="K24" s="45" t="s">
        <v>107</v>
      </c>
      <c r="L24" s="45" t="s">
        <v>108</v>
      </c>
      <c r="M24" s="46" t="s">
        <v>70</v>
      </c>
      <c r="N24" s="46" t="s">
        <v>102</v>
      </c>
      <c r="O24" s="47" t="s">
        <v>103</v>
      </c>
      <c r="P24" s="48" t="s">
        <v>104</v>
      </c>
    </row>
    <row r="25" spans="1:16" ht="12.75" customHeight="1" thickBot="1">
      <c r="A25" s="10" t="str">
        <f t="shared" si="0"/>
        <v>BAVM 225 </v>
      </c>
      <c r="B25" s="3" t="str">
        <f t="shared" si="1"/>
        <v>I</v>
      </c>
      <c r="C25" s="10">
        <f t="shared" si="2"/>
        <v>55850.630400000002</v>
      </c>
      <c r="D25" s="12" t="str">
        <f t="shared" si="3"/>
        <v>vis</v>
      </c>
      <c r="E25" s="44">
        <f>VLOOKUP(C25,Active!C$21:E$970,3,FALSE)</f>
        <v>13232.958378873369</v>
      </c>
      <c r="F25" s="3" t="s">
        <v>65</v>
      </c>
      <c r="G25" s="12" t="str">
        <f t="shared" si="4"/>
        <v>55850.6304</v>
      </c>
      <c r="H25" s="10">
        <f t="shared" si="5"/>
        <v>13233</v>
      </c>
      <c r="I25" s="45" t="s">
        <v>109</v>
      </c>
      <c r="J25" s="46" t="s">
        <v>110</v>
      </c>
      <c r="K25" s="45" t="s">
        <v>111</v>
      </c>
      <c r="L25" s="45" t="s">
        <v>108</v>
      </c>
      <c r="M25" s="46" t="s">
        <v>70</v>
      </c>
      <c r="N25" s="46" t="s">
        <v>102</v>
      </c>
      <c r="O25" s="47" t="s">
        <v>103</v>
      </c>
      <c r="P25" s="48" t="s">
        <v>104</v>
      </c>
    </row>
    <row r="26" spans="1:16">
      <c r="B26" s="3"/>
      <c r="F26" s="3"/>
    </row>
    <row r="27" spans="1:16">
      <c r="B27" s="3"/>
      <c r="F27" s="3"/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</sheetData>
  <phoneticPr fontId="8" type="noConversion"/>
  <hyperlinks>
    <hyperlink ref="A3" r:id="rId1" xr:uid="{00000000-0004-0000-0100-000000000000}"/>
    <hyperlink ref="P20" r:id="rId2" display="http://var.astro.cz/oejv/issues/oejv0094.pdf" xr:uid="{00000000-0004-0000-0100-000001000000}"/>
    <hyperlink ref="P21" r:id="rId3" display="http://var.astro.cz/oejv/issues/oejv0094.pdf" xr:uid="{00000000-0004-0000-0100-000002000000}"/>
    <hyperlink ref="P22" r:id="rId4" display="http://var.astro.cz/oejv/issues/oejv0137.pdf" xr:uid="{00000000-0004-0000-0100-000003000000}"/>
    <hyperlink ref="P23" r:id="rId5" display="http://www.bav-astro.de/sfs/BAVM_link.php?BAVMnr=225" xr:uid="{00000000-0004-0000-0100-000004000000}"/>
    <hyperlink ref="P24" r:id="rId6" display="http://www.bav-astro.de/sfs/BAVM_link.php?BAVMnr=225" xr:uid="{00000000-0004-0000-0100-000005000000}"/>
    <hyperlink ref="P25" r:id="rId7" display="http://www.bav-astro.de/sfs/BAVM_link.php?BAVMnr=225" xr:uid="{00000000-0004-0000-0100-000006000000}"/>
    <hyperlink ref="P15" r:id="rId8" display="http://var.astro.cz/oejv/issues/oejv0160.pdf" xr:uid="{00000000-0004-0000-0100-000007000000}"/>
    <hyperlink ref="P16" r:id="rId9" display="http://var.astro.cz/oejv/issues/oejv0160.pdf" xr:uid="{00000000-0004-0000-0100-000008000000}"/>
    <hyperlink ref="P17" r:id="rId10" display="http://var.astro.cz/oejv/issues/oejv0160.pdf" xr:uid="{00000000-0004-0000-0100-000009000000}"/>
    <hyperlink ref="P18" r:id="rId11" display="http://www.konkoly.hu/cgi-bin/IBVS?6042" xr:uid="{00000000-0004-0000-0100-00000A000000}"/>
    <hyperlink ref="P19" r:id="rId12" display="http://www.bav-astro.de/sfs/BAVM_link.php?BAVMnr=239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2023-08-13T04:55:54Z</dcterms:modified>
</cp:coreProperties>
</file>