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8C9AC56-2C59-4D3A-8010-4158D6BC44F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old" sheetId="1" r:id="rId2"/>
    <sheet name="old 2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8" i="3" l="1"/>
  <c r="F38" i="3"/>
  <c r="G38" i="3"/>
  <c r="E43" i="3"/>
  <c r="F43" i="3"/>
  <c r="G43" i="3"/>
  <c r="E44" i="3"/>
  <c r="F44" i="3"/>
  <c r="G44" i="3"/>
  <c r="E34" i="3"/>
  <c r="F34" i="3"/>
  <c r="G34" i="3"/>
  <c r="E35" i="3"/>
  <c r="F35" i="3"/>
  <c r="G35" i="3"/>
  <c r="E36" i="3"/>
  <c r="F36" i="3"/>
  <c r="G36" i="3"/>
  <c r="E37" i="3"/>
  <c r="F37" i="3"/>
  <c r="G37" i="3"/>
  <c r="E39" i="3"/>
  <c r="F39" i="3"/>
  <c r="G39" i="3"/>
  <c r="E40" i="3"/>
  <c r="F40" i="3"/>
  <c r="G40" i="3"/>
  <c r="E41" i="3"/>
  <c r="F41" i="3"/>
  <c r="G41" i="3"/>
  <c r="E42" i="3"/>
  <c r="F42" i="3"/>
  <c r="G42" i="3"/>
  <c r="E45" i="3"/>
  <c r="F45" i="3"/>
  <c r="G45" i="3"/>
  <c r="E46" i="3"/>
  <c r="F46" i="3"/>
  <c r="G46" i="3"/>
  <c r="E47" i="3"/>
  <c r="F47" i="3"/>
  <c r="G47" i="3"/>
  <c r="E48" i="3"/>
  <c r="F48" i="3"/>
  <c r="G48" i="3"/>
  <c r="R48" i="3"/>
  <c r="T48" i="3"/>
  <c r="Q38" i="3"/>
  <c r="Q43" i="3"/>
  <c r="Q44" i="3"/>
  <c r="D11" i="3"/>
  <c r="W19" i="3" s="1"/>
  <c r="D12" i="3"/>
  <c r="D13" i="3"/>
  <c r="Q48" i="3"/>
  <c r="E33" i="3"/>
  <c r="F33" i="3"/>
  <c r="G33" i="3"/>
  <c r="E32" i="3"/>
  <c r="F32" i="3"/>
  <c r="U32" i="3"/>
  <c r="Q39" i="3"/>
  <c r="Q40" i="3"/>
  <c r="Q41" i="3"/>
  <c r="Q45" i="3"/>
  <c r="Q46" i="3"/>
  <c r="Q47" i="3"/>
  <c r="D9" i="3"/>
  <c r="C9" i="3"/>
  <c r="E22" i="3"/>
  <c r="F22" i="3"/>
  <c r="E23" i="3"/>
  <c r="F23" i="3"/>
  <c r="G23" i="3"/>
  <c r="E24" i="3"/>
  <c r="F24" i="3"/>
  <c r="G24" i="3"/>
  <c r="E29" i="3"/>
  <c r="F29" i="3"/>
  <c r="G29" i="3"/>
  <c r="E26" i="3"/>
  <c r="F26" i="3"/>
  <c r="G26" i="3"/>
  <c r="E27" i="3"/>
  <c r="F27" i="3"/>
  <c r="G27" i="3"/>
  <c r="E31" i="3"/>
  <c r="F31" i="3"/>
  <c r="G31" i="3"/>
  <c r="E25" i="3"/>
  <c r="F25" i="3"/>
  <c r="G25" i="3"/>
  <c r="E28" i="3"/>
  <c r="F28" i="3"/>
  <c r="G28" i="3"/>
  <c r="E30" i="3"/>
  <c r="F30" i="3"/>
  <c r="G30" i="3"/>
  <c r="R37" i="3"/>
  <c r="T37" i="3"/>
  <c r="R32" i="3"/>
  <c r="W18" i="3"/>
  <c r="W21" i="3"/>
  <c r="E21" i="3"/>
  <c r="F21" i="3"/>
  <c r="P21" i="3"/>
  <c r="Q21" i="3"/>
  <c r="W17" i="3"/>
  <c r="W16" i="3"/>
  <c r="W14" i="3"/>
  <c r="W13" i="3"/>
  <c r="W12" i="3"/>
  <c r="W11" i="3"/>
  <c r="W9" i="3"/>
  <c r="W8" i="3"/>
  <c r="W7" i="3"/>
  <c r="W6" i="3"/>
  <c r="W5" i="3"/>
  <c r="W4" i="3"/>
  <c r="W3" i="3"/>
  <c r="W2" i="3"/>
  <c r="F16" i="3"/>
  <c r="F17" i="3" s="1"/>
  <c r="C17" i="3"/>
  <c r="Q22" i="3"/>
  <c r="Q23" i="3"/>
  <c r="Q24" i="3"/>
  <c r="Q29" i="3"/>
  <c r="Q26" i="3"/>
  <c r="Q27" i="3"/>
  <c r="Q31" i="3"/>
  <c r="Q32" i="3"/>
  <c r="Q25" i="3"/>
  <c r="Q28" i="3"/>
  <c r="Q30" i="3"/>
  <c r="Q36" i="3"/>
  <c r="Q33" i="3"/>
  <c r="Q34" i="3"/>
  <c r="Q35" i="3"/>
  <c r="K37" i="3"/>
  <c r="Q37" i="3"/>
  <c r="Q42" i="3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K36" i="2"/>
  <c r="E37" i="2"/>
  <c r="F37" i="2"/>
  <c r="G37" i="2"/>
  <c r="K37" i="2"/>
  <c r="E38" i="2"/>
  <c r="F38" i="2"/>
  <c r="G38" i="2"/>
  <c r="K38" i="2"/>
  <c r="Q33" i="2"/>
  <c r="Q34" i="2"/>
  <c r="Q35" i="2"/>
  <c r="Q36" i="2"/>
  <c r="Q37" i="2"/>
  <c r="Q38" i="2"/>
  <c r="E30" i="2"/>
  <c r="F30" i="2"/>
  <c r="G30" i="2"/>
  <c r="K30" i="2"/>
  <c r="E26" i="2"/>
  <c r="F26" i="2"/>
  <c r="G26" i="2"/>
  <c r="K26" i="2"/>
  <c r="E27" i="2"/>
  <c r="F27" i="2"/>
  <c r="G27" i="2"/>
  <c r="K27" i="2"/>
  <c r="E31" i="2"/>
  <c r="F31" i="2"/>
  <c r="G31" i="2"/>
  <c r="K31" i="2"/>
  <c r="E25" i="2"/>
  <c r="F25" i="2"/>
  <c r="G25" i="2"/>
  <c r="K25" i="2"/>
  <c r="E28" i="2"/>
  <c r="F28" i="2"/>
  <c r="G28" i="2"/>
  <c r="K28" i="2"/>
  <c r="E32" i="2"/>
  <c r="F32" i="2"/>
  <c r="G32" i="2"/>
  <c r="K32" i="2"/>
  <c r="Q32" i="2"/>
  <c r="C9" i="2"/>
  <c r="D9" i="2"/>
  <c r="E29" i="2"/>
  <c r="F29" i="2"/>
  <c r="U29" i="2"/>
  <c r="Q29" i="2"/>
  <c r="Q31" i="2"/>
  <c r="Q27" i="2"/>
  <c r="Q26" i="2"/>
  <c r="Q30" i="2"/>
  <c r="Q28" i="1"/>
  <c r="E25" i="1"/>
  <c r="F25" i="1"/>
  <c r="G25" i="1"/>
  <c r="K25" i="1"/>
  <c r="E26" i="1"/>
  <c r="F26" i="1"/>
  <c r="G26" i="1"/>
  <c r="I26" i="1"/>
  <c r="E27" i="1"/>
  <c r="F27" i="1"/>
  <c r="G27" i="1"/>
  <c r="I27" i="1"/>
  <c r="E28" i="1"/>
  <c r="F28" i="1"/>
  <c r="G28" i="1"/>
  <c r="K28" i="1"/>
  <c r="E22" i="1"/>
  <c r="F22" i="1"/>
  <c r="G22" i="1"/>
  <c r="I22" i="1"/>
  <c r="E23" i="1"/>
  <c r="F23" i="1"/>
  <c r="G23" i="1"/>
  <c r="I23" i="1"/>
  <c r="E24" i="1"/>
  <c r="F24" i="1"/>
  <c r="G24" i="1"/>
  <c r="I24" i="1"/>
  <c r="E29" i="1"/>
  <c r="F29" i="1"/>
  <c r="G29" i="1"/>
  <c r="I29" i="1"/>
  <c r="E30" i="1"/>
  <c r="F30" i="1"/>
  <c r="G30" i="1"/>
  <c r="J30" i="1"/>
  <c r="F11" i="1"/>
  <c r="G11" i="1"/>
  <c r="Q27" i="1"/>
  <c r="Q26" i="1"/>
  <c r="Q25" i="1"/>
  <c r="E22" i="2"/>
  <c r="F22" i="2"/>
  <c r="G22" i="2"/>
  <c r="K22" i="2"/>
  <c r="E23" i="2"/>
  <c r="F23" i="2"/>
  <c r="G23" i="2"/>
  <c r="K23" i="2"/>
  <c r="E24" i="2"/>
  <c r="F24" i="2"/>
  <c r="G24" i="2"/>
  <c r="K24" i="2"/>
  <c r="F16" i="2"/>
  <c r="F17" i="2" s="1"/>
  <c r="E21" i="2"/>
  <c r="F21" i="2"/>
  <c r="G21" i="2"/>
  <c r="J21" i="2"/>
  <c r="C17" i="2"/>
  <c r="Q21" i="2"/>
  <c r="Q22" i="2"/>
  <c r="Q23" i="2"/>
  <c r="Q24" i="2"/>
  <c r="Q25" i="2"/>
  <c r="Q28" i="2"/>
  <c r="Q30" i="1"/>
  <c r="Q29" i="1"/>
  <c r="E21" i="1"/>
  <c r="F21" i="1"/>
  <c r="G21" i="1"/>
  <c r="H21" i="1"/>
  <c r="Q22" i="1"/>
  <c r="Q23" i="1"/>
  <c r="Q24" i="1"/>
  <c r="E14" i="1"/>
  <c r="E15" i="1" s="1"/>
  <c r="C17" i="1"/>
  <c r="Q21" i="1"/>
  <c r="G22" i="3"/>
  <c r="D16" i="3"/>
  <c r="D19" i="3" s="1"/>
  <c r="D15" i="3"/>
  <c r="C19" i="3" s="1"/>
  <c r="R39" i="3"/>
  <c r="T39" i="3"/>
  <c r="K39" i="3"/>
  <c r="R45" i="3"/>
  <c r="T45" i="3"/>
  <c r="K45" i="3"/>
  <c r="K27" i="3"/>
  <c r="R27" i="3"/>
  <c r="T27" i="3"/>
  <c r="R33" i="3"/>
  <c r="T33" i="3"/>
  <c r="K33" i="3"/>
  <c r="K42" i="3"/>
  <c r="R42" i="3"/>
  <c r="T42" i="3"/>
  <c r="R31" i="3"/>
  <c r="T31" i="3"/>
  <c r="K31" i="3"/>
  <c r="K46" i="3"/>
  <c r="R46" i="3"/>
  <c r="T46" i="3"/>
  <c r="K38" i="3"/>
  <c r="R38" i="3"/>
  <c r="T38" i="3"/>
  <c r="R30" i="3"/>
  <c r="T30" i="3"/>
  <c r="K30" i="3"/>
  <c r="K41" i="3"/>
  <c r="R41" i="3"/>
  <c r="T41" i="3"/>
  <c r="R29" i="3"/>
  <c r="T29" i="3"/>
  <c r="K29" i="3"/>
  <c r="R35" i="3"/>
  <c r="T35" i="3"/>
  <c r="K35" i="3"/>
  <c r="K25" i="3"/>
  <c r="R25" i="3"/>
  <c r="T25" i="3"/>
  <c r="K24" i="3"/>
  <c r="R24" i="3"/>
  <c r="T24" i="3"/>
  <c r="R40" i="3"/>
  <c r="T40" i="3"/>
  <c r="K40" i="3"/>
  <c r="K34" i="3"/>
  <c r="R34" i="3"/>
  <c r="T34" i="3"/>
  <c r="K26" i="3"/>
  <c r="R26" i="3"/>
  <c r="T26" i="3"/>
  <c r="R36" i="3"/>
  <c r="T36" i="3"/>
  <c r="K36" i="3"/>
  <c r="R28" i="3"/>
  <c r="T28" i="3"/>
  <c r="K28" i="3"/>
  <c r="R23" i="3"/>
  <c r="T23" i="3"/>
  <c r="K23" i="3"/>
  <c r="R47" i="3"/>
  <c r="T47" i="3"/>
  <c r="K47" i="3"/>
  <c r="K44" i="3"/>
  <c r="R44" i="3"/>
  <c r="T44" i="3"/>
  <c r="R43" i="3"/>
  <c r="T43" i="3"/>
  <c r="K43" i="3"/>
  <c r="G21" i="3"/>
  <c r="J21" i="3"/>
  <c r="K48" i="3"/>
  <c r="W23" i="3"/>
  <c r="W22" i="3"/>
  <c r="W20" i="3"/>
  <c r="K22" i="3"/>
  <c r="R22" i="3"/>
  <c r="T22" i="3"/>
  <c r="R21" i="3"/>
  <c r="T21" i="3" s="1"/>
  <c r="E14" i="3" s="1"/>
  <c r="C12" i="3"/>
  <c r="C11" i="2"/>
  <c r="C12" i="2"/>
  <c r="C11" i="3"/>
  <c r="C11" i="1"/>
  <c r="C12" i="1"/>
  <c r="C16" i="1" l="1"/>
  <c r="D18" i="1" s="1"/>
  <c r="O30" i="1"/>
  <c r="O22" i="1"/>
  <c r="O28" i="1"/>
  <c r="O21" i="1"/>
  <c r="O23" i="1"/>
  <c r="O27" i="1"/>
  <c r="O24" i="1"/>
  <c r="O26" i="1"/>
  <c r="O29" i="1"/>
  <c r="C15" i="1"/>
  <c r="O25" i="1"/>
  <c r="O37" i="3"/>
  <c r="O41" i="3"/>
  <c r="O30" i="3"/>
  <c r="O21" i="3"/>
  <c r="O42" i="3"/>
  <c r="O46" i="3"/>
  <c r="O23" i="3"/>
  <c r="O24" i="3"/>
  <c r="O22" i="3"/>
  <c r="O29" i="3"/>
  <c r="O39" i="3"/>
  <c r="O28" i="3"/>
  <c r="O34" i="3"/>
  <c r="O32" i="3"/>
  <c r="O40" i="3"/>
  <c r="O45" i="3"/>
  <c r="O26" i="3"/>
  <c r="O38" i="3"/>
  <c r="O25" i="3"/>
  <c r="O48" i="3"/>
  <c r="O47" i="3"/>
  <c r="O35" i="3"/>
  <c r="O33" i="3"/>
  <c r="O43" i="3"/>
  <c r="O36" i="3"/>
  <c r="C15" i="3"/>
  <c r="O44" i="3"/>
  <c r="O27" i="3"/>
  <c r="O31" i="3"/>
  <c r="C16" i="2"/>
  <c r="D18" i="2" s="1"/>
  <c r="O29" i="2"/>
  <c r="O30" i="2"/>
  <c r="O31" i="2"/>
  <c r="O32" i="2"/>
  <c r="O21" i="2"/>
  <c r="O22" i="2"/>
  <c r="O25" i="2"/>
  <c r="O27" i="2"/>
  <c r="C15" i="2"/>
  <c r="O24" i="2"/>
  <c r="O34" i="2"/>
  <c r="O37" i="2"/>
  <c r="O23" i="2"/>
  <c r="O38" i="2"/>
  <c r="O33" i="2"/>
  <c r="O35" i="2"/>
  <c r="O26" i="2"/>
  <c r="O28" i="2"/>
  <c r="O36" i="2"/>
  <c r="C16" i="3"/>
  <c r="D18" i="3" s="1"/>
  <c r="W25" i="3"/>
  <c r="W24" i="3"/>
  <c r="W10" i="3"/>
  <c r="W26" i="3"/>
  <c r="W15" i="3"/>
  <c r="C18" i="3" l="1"/>
  <c r="F18" i="3"/>
  <c r="F19" i="3" s="1"/>
  <c r="C18" i="2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<sst xmlns="http://schemas.openxmlformats.org/spreadsheetml/2006/main" count="262" uniqueCount="75">
  <si>
    <t>VSB-063</t>
  </si>
  <si>
    <t>IBVS 6244</t>
  </si>
  <si>
    <t>V</t>
  </si>
  <si>
    <t>VSB-64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</si>
  <si>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</si>
  <si>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</si>
  <si>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</si>
  <si>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</si>
  <si>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</si>
  <si>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0.0002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</si>
  <si>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</si>
  <si>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</si>
  <si>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</si>
  <si>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</si>
  <si>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</si>
  <si>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</si>
  <si>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</si>
  <si>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</si>
  <si>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</si>
  <si>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</si>
  <si>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</si>
  <si>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</si>
  <si>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</si>
  <si>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</si>
  <si>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</si>
  <si>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</si>
  <si>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</si>
  <si>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</si>
  <si>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</si>
  <si>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</si>
  <si>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</si>
  <si>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</si>
  <si>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</si>
  <si>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</si>
  <si>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</si>
  <si>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</si>
  <si>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</si>
  <si>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</si>
  <si>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</si>
  <si>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</si>
  <si>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</si>
  <si>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</si>
  <si>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</si>
  <si>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</si>
  <si>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</si>
  <si>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</si>
  <si>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</si>
  <si>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</si>
  <si>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</si>
  <si>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</si>
  <si>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</si>
  <si>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V0546 And / GSC 2828-0018</t>
  </si>
  <si>
    <t>VSX</t>
  </si>
  <si>
    <t>IBVS 6039</t>
  </si>
  <si>
    <t>I</t>
  </si>
  <si>
    <t>II</t>
  </si>
  <si>
    <t>EW</t>
  </si>
  <si>
    <t>IBVS 6042</t>
  </si>
  <si>
    <t>II:</t>
  </si>
  <si>
    <t>RHN 2013</t>
  </si>
  <si>
    <t>Nelson</t>
  </si>
  <si>
    <t>OEJV 0160</t>
  </si>
  <si>
    <t>IBVS 6075</t>
  </si>
  <si>
    <t>OEJV</t>
  </si>
  <si>
    <t>IBVS 6118</t>
  </si>
  <si>
    <t>IBVS 6092</t>
  </si>
  <si>
    <t>OEJV 0168</t>
  </si>
  <si>
    <t>pg</t>
  </si>
  <si>
    <t>vis</t>
  </si>
  <si>
    <t>PE</t>
  </si>
  <si>
    <t>CCD</t>
  </si>
  <si>
    <t>OEJV 0179</t>
  </si>
  <si>
    <t>Rc</t>
  </si>
  <si>
    <t>RHN 2021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</si>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</sst>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4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7" fillId="0" borderId="0"/>
    <xf numFmtId="0" fontId="6" fillId="0" borderId="0"/>
    <xf numFmtId="0" fontId="6" fillId="0" borderId="0"/>
    <xf numFmtId="0" fontId="1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24" borderId="0" xfId="0" applyFont="1" applyFill="1" applyAlignme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17" fillId="0" borderId="0" xfId="0" applyFont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4" fillId="0" borderId="0" xfId="0" applyFont="1" applyAlignment="1"/>
    <xf numFmtId="14" fontId="17" fillId="0" borderId="0" xfId="0" applyNumberFormat="1" applyFont="1" applyAlignment="1"/>
    <xf numFmtId="0" fontId="17" fillId="0" borderId="0" xfId="0" applyFont="1" applyAlignment="1">
      <alignment horizontal="center"/>
    </xf>
    <xf numFmtId="172" fontId="18" fillId="0" borderId="0" xfId="0" applyNumberFormat="1" applyFont="1" applyAlignment="1">
      <alignment horizontal="left"/>
    </xf>
    <xf numFmtId="0" fontId="39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3" applyFont="1"/>
    <xf numFmtId="0" fontId="5" fillId="0" borderId="0" xfId="43" applyFont="1" applyBorder="1" applyAlignment="1">
      <alignment horizontal="center"/>
    </xf>
    <xf numFmtId="172" fontId="5" fillId="0" borderId="0" xfId="43" applyNumberFormat="1" applyFont="1" applyFill="1" applyBorder="1" applyAlignment="1" applyProtection="1">
      <alignment horizontal="left" vertical="top"/>
    </xf>
    <xf numFmtId="0" fontId="5" fillId="0" borderId="0" xfId="43" applyNumberFormat="1" applyFont="1" applyFill="1" applyBorder="1" applyAlignment="1" applyProtection="1">
      <alignment horizontal="left" vertical="top"/>
    </xf>
    <xf numFmtId="0" fontId="5" fillId="0" borderId="0" xfId="0" applyFont="1" applyAlignme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40" fillId="0" borderId="0" xfId="43" applyFo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2)" xfId="42"/>
    <cellStyle name="Normal_A (3)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75-463B-8FB4-07E72118D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75-463B-8FB4-07E72118D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75-463B-8FB4-07E72118D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1.2459963909350336E-4</c:v>
                </c:pt>
                <c:pt idx="2">
                  <c:v>-2.8462614864110947E-4</c:v>
                </c:pt>
                <c:pt idx="3">
                  <c:v>-1.049620914272964E-5</c:v>
                </c:pt>
                <c:pt idx="4">
                  <c:v>1.5512088866671547E-3</c:v>
                </c:pt>
                <c:pt idx="5">
                  <c:v>1.1534070217749104E-3</c:v>
                </c:pt>
                <c:pt idx="6">
                  <c:v>1.3441812261589803E-3</c:v>
                </c:pt>
                <c:pt idx="7">
                  <c:v>5.4898810776649043E-4</c:v>
                </c:pt>
                <c:pt idx="8">
                  <c:v>5.8402170543558896E-4</c:v>
                </c:pt>
                <c:pt idx="9">
                  <c:v>1.0208226522081532E-3</c:v>
                </c:pt>
                <c:pt idx="10">
                  <c:v>-4.1349898674525321E-4</c:v>
                </c:pt>
                <c:pt idx="12">
                  <c:v>3.6049373738933355E-3</c:v>
                </c:pt>
                <c:pt idx="13">
                  <c:v>-3.140925255138427E-3</c:v>
                </c:pt>
                <c:pt idx="14">
                  <c:v>-4.8429242669953965E-3</c:v>
                </c:pt>
                <c:pt idx="15">
                  <c:v>-8.5067878899280913E-3</c:v>
                </c:pt>
                <c:pt idx="16">
                  <c:v>-1.0303539325832389E-2</c:v>
                </c:pt>
                <c:pt idx="17">
                  <c:v>-9.7835391716216691E-3</c:v>
                </c:pt>
                <c:pt idx="18">
                  <c:v>-8.2359242005622946E-3</c:v>
                </c:pt>
                <c:pt idx="19">
                  <c:v>-1.1345149992848746E-2</c:v>
                </c:pt>
                <c:pt idx="20">
                  <c:v>-8.0912789417197928E-3</c:v>
                </c:pt>
                <c:pt idx="21">
                  <c:v>-1.1265341694524977E-2</c:v>
                </c:pt>
                <c:pt idx="22">
                  <c:v>-1.1809531220933422E-2</c:v>
                </c:pt>
                <c:pt idx="23">
                  <c:v>-1.2036626379995141E-2</c:v>
                </c:pt>
                <c:pt idx="24">
                  <c:v>-1.2537895985587966E-2</c:v>
                </c:pt>
                <c:pt idx="25">
                  <c:v>-9.6471217766520567E-3</c:v>
                </c:pt>
                <c:pt idx="26">
                  <c:v>-1.0756023948488291E-2</c:v>
                </c:pt>
                <c:pt idx="27">
                  <c:v>-2.6412116145365871E-2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75-463B-8FB4-07E72118D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75-463B-8FB4-07E72118D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75-463B-8FB4-07E72118D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75-463B-8FB4-07E72118D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6.3265776839011398E-2</c:v>
                </c:pt>
                <c:pt idx="1">
                  <c:v>1.7022111563945633E-2</c:v>
                </c:pt>
                <c:pt idx="2">
                  <c:v>1.7019886813379143E-2</c:v>
                </c:pt>
                <c:pt idx="3">
                  <c:v>1.6893076031089201E-2</c:v>
                </c:pt>
                <c:pt idx="4">
                  <c:v>1.3037583299361645E-2</c:v>
                </c:pt>
                <c:pt idx="5">
                  <c:v>1.2399079886778951E-2</c:v>
                </c:pt>
                <c:pt idx="6">
                  <c:v>1.2396855136212461E-2</c:v>
                </c:pt>
                <c:pt idx="7">
                  <c:v>7.8427907266069748E-3</c:v>
                </c:pt>
                <c:pt idx="8">
                  <c:v>7.6559116790217967E-3</c:v>
                </c:pt>
                <c:pt idx="9">
                  <c:v>3.9294544801506751E-3</c:v>
                </c:pt>
                <c:pt idx="10">
                  <c:v>3.7981941967277517E-3</c:v>
                </c:pt>
                <c:pt idx="11">
                  <c:v>3.1507917818790971E-3</c:v>
                </c:pt>
                <c:pt idx="12">
                  <c:v>-3.0651613008945838E-3</c:v>
                </c:pt>
                <c:pt idx="13">
                  <c:v>-4.2264810966024802E-3</c:v>
                </c:pt>
                <c:pt idx="14">
                  <c:v>-4.3644156317248738E-3</c:v>
                </c:pt>
                <c:pt idx="15">
                  <c:v>-5.3878008923103765E-3</c:v>
                </c:pt>
                <c:pt idx="16">
                  <c:v>-8.5580704495589431E-3</c:v>
                </c:pt>
                <c:pt idx="17">
                  <c:v>-8.5580704495589431E-3</c:v>
                </c:pt>
                <c:pt idx="18">
                  <c:v>-8.8673107783010848E-3</c:v>
                </c:pt>
                <c:pt idx="19">
                  <c:v>-8.8695355288675743E-3</c:v>
                </c:pt>
                <c:pt idx="20">
                  <c:v>-8.8806592817000252E-3</c:v>
                </c:pt>
                <c:pt idx="21">
                  <c:v>-9.1276065945804404E-3</c:v>
                </c:pt>
                <c:pt idx="22">
                  <c:v>-9.6615467305380936E-3</c:v>
                </c:pt>
                <c:pt idx="23">
                  <c:v>-9.9285167985169193E-3</c:v>
                </c:pt>
                <c:pt idx="24">
                  <c:v>-1.2798445029289307E-2</c:v>
                </c:pt>
                <c:pt idx="25">
                  <c:v>-1.2800669779855797E-2</c:v>
                </c:pt>
                <c:pt idx="26">
                  <c:v>-1.2947503317244152E-2</c:v>
                </c:pt>
                <c:pt idx="27">
                  <c:v>-2.706799516275759E-2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75-463B-8FB4-07E72118D4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1.8017959810094908E-3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75-463B-8FB4-07E72118D4C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Active!$V$2:$V$26</c:f>
              <c:numCache>
                <c:formatCode>General</c:formatCode>
                <c:ptCount val="25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</c:numCache>
            </c:numRef>
          </c:xVal>
          <c:yVal>
            <c:numRef>
              <c:f>Active!$W$2:$W$26</c:f>
              <c:numCache>
                <c:formatCode>General</c:formatCode>
                <c:ptCount val="25"/>
                <c:pt idx="0">
                  <c:v>-5.5151198552675529E-2</c:v>
                </c:pt>
                <c:pt idx="1">
                  <c:v>-4.6010340552979714E-2</c:v>
                </c:pt>
                <c:pt idx="2">
                  <c:v>-3.7644312024189955E-2</c:v>
                </c:pt>
                <c:pt idx="3">
                  <c:v>-3.0053112966306264E-2</c:v>
                </c:pt>
                <c:pt idx="4">
                  <c:v>-2.3236743379328646E-2</c:v>
                </c:pt>
                <c:pt idx="5">
                  <c:v>-1.7195203263257085E-2</c:v>
                </c:pt>
                <c:pt idx="6">
                  <c:v>-1.1928492618091594E-2</c:v>
                </c:pt>
                <c:pt idx="7">
                  <c:v>-7.4366114438321751E-3</c:v>
                </c:pt>
                <c:pt idx="8">
                  <c:v>-3.7195597404788214E-3</c:v>
                </c:pt>
                <c:pt idx="9">
                  <c:v>-7.7733750803152951E-4</c:v>
                </c:pt>
                <c:pt idx="10">
                  <c:v>1.3900552535096936E-3</c:v>
                </c:pt>
                <c:pt idx="11">
                  <c:v>2.7826185441448504E-3</c:v>
                </c:pt>
                <c:pt idx="12">
                  <c:v>3.4003523638739411E-3</c:v>
                </c:pt>
                <c:pt idx="13">
                  <c:v>3.2432567126969647E-3</c:v>
                </c:pt>
                <c:pt idx="14">
                  <c:v>2.311331590613923E-3</c:v>
                </c:pt>
                <c:pt idx="15">
                  <c:v>6.0457699762481371E-4</c:v>
                </c:pt>
                <c:pt idx="16">
                  <c:v>-1.8770070662703618E-3</c:v>
                </c:pt>
                <c:pt idx="17">
                  <c:v>-5.1334206010716036E-3</c:v>
                </c:pt>
                <c:pt idx="18">
                  <c:v>-9.1646636067789118E-3</c:v>
                </c:pt>
                <c:pt idx="19">
                  <c:v>-1.3970736083392287E-2</c:v>
                </c:pt>
                <c:pt idx="20">
                  <c:v>-1.9551638030911728E-2</c:v>
                </c:pt>
                <c:pt idx="21">
                  <c:v>-2.5907369449337237E-2</c:v>
                </c:pt>
                <c:pt idx="22">
                  <c:v>-3.3037930338668808E-2</c:v>
                </c:pt>
                <c:pt idx="23">
                  <c:v>-4.0943320698906452E-2</c:v>
                </c:pt>
                <c:pt idx="24">
                  <c:v>-4.962354053005015E-2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675-463B-8FB4-07E72118D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412984"/>
        <c:axId val="1"/>
      </c:scatterChart>
      <c:valAx>
        <c:axId val="69541298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41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91729323308271"/>
          <c:y val="0.92441860465116277"/>
          <c:w val="0.8045112781954887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36683928022507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202938753789499"/>
          <c:w val="0.81681801452528879"/>
          <c:h val="0.6463786412438894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FA-47DE-94CB-C9D7A851C9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FA-47DE-94CB-C9D7A851C9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FA-47DE-94CB-C9D7A851C9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1.2459963909350336E-4</c:v>
                </c:pt>
                <c:pt idx="2">
                  <c:v>-2.8462614864110947E-4</c:v>
                </c:pt>
                <c:pt idx="3">
                  <c:v>-1.049620914272964E-5</c:v>
                </c:pt>
                <c:pt idx="4">
                  <c:v>1.5512088866671547E-3</c:v>
                </c:pt>
                <c:pt idx="5">
                  <c:v>1.1534070217749104E-3</c:v>
                </c:pt>
                <c:pt idx="6">
                  <c:v>1.3441812261589803E-3</c:v>
                </c:pt>
                <c:pt idx="7">
                  <c:v>5.4898810776649043E-4</c:v>
                </c:pt>
                <c:pt idx="8">
                  <c:v>5.8402170543558896E-4</c:v>
                </c:pt>
                <c:pt idx="9">
                  <c:v>1.0208226522081532E-3</c:v>
                </c:pt>
                <c:pt idx="10">
                  <c:v>-4.1349898674525321E-4</c:v>
                </c:pt>
                <c:pt idx="12">
                  <c:v>3.6049373738933355E-3</c:v>
                </c:pt>
                <c:pt idx="13">
                  <c:v>-3.140925255138427E-3</c:v>
                </c:pt>
                <c:pt idx="14">
                  <c:v>-4.8429242669953965E-3</c:v>
                </c:pt>
                <c:pt idx="15">
                  <c:v>-8.5067878899280913E-3</c:v>
                </c:pt>
                <c:pt idx="16">
                  <c:v>-1.0303539325832389E-2</c:v>
                </c:pt>
                <c:pt idx="17">
                  <c:v>-9.7835391716216691E-3</c:v>
                </c:pt>
                <c:pt idx="18">
                  <c:v>-8.2359242005622946E-3</c:v>
                </c:pt>
                <c:pt idx="19">
                  <c:v>-1.1345149992848746E-2</c:v>
                </c:pt>
                <c:pt idx="20">
                  <c:v>-8.0912789417197928E-3</c:v>
                </c:pt>
                <c:pt idx="21">
                  <c:v>-1.1265341694524977E-2</c:v>
                </c:pt>
                <c:pt idx="22">
                  <c:v>-1.1809531220933422E-2</c:v>
                </c:pt>
                <c:pt idx="23">
                  <c:v>-1.2036626379995141E-2</c:v>
                </c:pt>
                <c:pt idx="24">
                  <c:v>-1.2537895985587966E-2</c:v>
                </c:pt>
                <c:pt idx="25">
                  <c:v>-9.6471217766520567E-3</c:v>
                </c:pt>
                <c:pt idx="26">
                  <c:v>-1.0756023948488291E-2</c:v>
                </c:pt>
                <c:pt idx="27">
                  <c:v>-2.6412116145365871E-2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FA-47DE-94CB-C9D7A851C9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FA-47DE-94CB-C9D7A851C9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FA-47DE-94CB-C9D7A851C9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FA-47DE-94CB-C9D7A851C9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6.3265776839011398E-2</c:v>
                </c:pt>
                <c:pt idx="1">
                  <c:v>1.7022111563945633E-2</c:v>
                </c:pt>
                <c:pt idx="2">
                  <c:v>1.7019886813379143E-2</c:v>
                </c:pt>
                <c:pt idx="3">
                  <c:v>1.6893076031089201E-2</c:v>
                </c:pt>
                <c:pt idx="4">
                  <c:v>1.3037583299361645E-2</c:v>
                </c:pt>
                <c:pt idx="5">
                  <c:v>1.2399079886778951E-2</c:v>
                </c:pt>
                <c:pt idx="6">
                  <c:v>1.2396855136212461E-2</c:v>
                </c:pt>
                <c:pt idx="7">
                  <c:v>7.8427907266069748E-3</c:v>
                </c:pt>
                <c:pt idx="8">
                  <c:v>7.6559116790217967E-3</c:v>
                </c:pt>
                <c:pt idx="9">
                  <c:v>3.9294544801506751E-3</c:v>
                </c:pt>
                <c:pt idx="10">
                  <c:v>3.7981941967277517E-3</c:v>
                </c:pt>
                <c:pt idx="11">
                  <c:v>3.1507917818790971E-3</c:v>
                </c:pt>
                <c:pt idx="12">
                  <c:v>-3.0651613008945838E-3</c:v>
                </c:pt>
                <c:pt idx="13">
                  <c:v>-4.2264810966024802E-3</c:v>
                </c:pt>
                <c:pt idx="14">
                  <c:v>-4.3644156317248738E-3</c:v>
                </c:pt>
                <c:pt idx="15">
                  <c:v>-5.3878008923103765E-3</c:v>
                </c:pt>
                <c:pt idx="16">
                  <c:v>-8.5580704495589431E-3</c:v>
                </c:pt>
                <c:pt idx="17">
                  <c:v>-8.5580704495589431E-3</c:v>
                </c:pt>
                <c:pt idx="18">
                  <c:v>-8.8673107783010848E-3</c:v>
                </c:pt>
                <c:pt idx="19">
                  <c:v>-8.8695355288675743E-3</c:v>
                </c:pt>
                <c:pt idx="20">
                  <c:v>-8.8806592817000252E-3</c:v>
                </c:pt>
                <c:pt idx="21">
                  <c:v>-9.1276065945804404E-3</c:v>
                </c:pt>
                <c:pt idx="22">
                  <c:v>-9.6615467305380936E-3</c:v>
                </c:pt>
                <c:pt idx="23">
                  <c:v>-9.9285167985169193E-3</c:v>
                </c:pt>
                <c:pt idx="24">
                  <c:v>-1.2798445029289307E-2</c:v>
                </c:pt>
                <c:pt idx="25">
                  <c:v>-1.2800669779855797E-2</c:v>
                </c:pt>
                <c:pt idx="26">
                  <c:v>-1.2947503317244152E-2</c:v>
                </c:pt>
                <c:pt idx="27">
                  <c:v>-2.706799516275759E-2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FA-47DE-94CB-C9D7A851C99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plus>
            <c:minus>
              <c:numRef>
                <c:f>Active!$D$21:$D$58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1.9E-3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2.0000000000000001E-4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8.0000000000000004E-4</c:v>
                  </c:pt>
                  <c:pt idx="25">
                    <c:v>8.0000000000000004E-4</c:v>
                  </c:pt>
                  <c:pt idx="26">
                    <c:v>0</c:v>
                  </c:pt>
                  <c:pt idx="2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-2972</c:v>
                </c:pt>
                <c:pt idx="2">
                  <c:v>-2971.5</c:v>
                </c:pt>
                <c:pt idx="3">
                  <c:v>-2943</c:v>
                </c:pt>
                <c:pt idx="4">
                  <c:v>-2076.5</c:v>
                </c:pt>
                <c:pt idx="5">
                  <c:v>-1933</c:v>
                </c:pt>
                <c:pt idx="6">
                  <c:v>-1932.5</c:v>
                </c:pt>
                <c:pt idx="7">
                  <c:v>-909</c:v>
                </c:pt>
                <c:pt idx="8">
                  <c:v>-867</c:v>
                </c:pt>
                <c:pt idx="9">
                  <c:v>-29.5</c:v>
                </c:pt>
                <c:pt idx="10">
                  <c:v>0</c:v>
                </c:pt>
                <c:pt idx="11">
                  <c:v>145.5</c:v>
                </c:pt>
                <c:pt idx="12">
                  <c:v>1542.5</c:v>
                </c:pt>
                <c:pt idx="13">
                  <c:v>1803.5</c:v>
                </c:pt>
                <c:pt idx="14">
                  <c:v>1834.5</c:v>
                </c:pt>
                <c:pt idx="15">
                  <c:v>2064.5</c:v>
                </c:pt>
                <c:pt idx="16">
                  <c:v>2777</c:v>
                </c:pt>
                <c:pt idx="17">
                  <c:v>2777</c:v>
                </c:pt>
                <c:pt idx="18">
                  <c:v>2846.5</c:v>
                </c:pt>
                <c:pt idx="19">
                  <c:v>2847</c:v>
                </c:pt>
                <c:pt idx="20">
                  <c:v>2849.5</c:v>
                </c:pt>
                <c:pt idx="21">
                  <c:v>2905</c:v>
                </c:pt>
                <c:pt idx="22">
                  <c:v>3025</c:v>
                </c:pt>
                <c:pt idx="23">
                  <c:v>3085</c:v>
                </c:pt>
                <c:pt idx="24">
                  <c:v>3730</c:v>
                </c:pt>
                <c:pt idx="25">
                  <c:v>3730.5</c:v>
                </c:pt>
                <c:pt idx="26">
                  <c:v>3763.5</c:v>
                </c:pt>
                <c:pt idx="27">
                  <c:v>6937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1">
                  <c:v>1.8017959810094908E-3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FA-47DE-94CB-C9D7A851C99A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Active!$V$2:$V$21</c:f>
              <c:numCache>
                <c:formatCode>General</c:formatCode>
                <c:ptCount val="2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0">
                  <c:v>-5.5151198552675529E-2</c:v>
                </c:pt>
                <c:pt idx="1">
                  <c:v>-4.6010340552979714E-2</c:v>
                </c:pt>
                <c:pt idx="2">
                  <c:v>-3.7644312024189955E-2</c:v>
                </c:pt>
                <c:pt idx="3">
                  <c:v>-3.0053112966306264E-2</c:v>
                </c:pt>
                <c:pt idx="4">
                  <c:v>-2.3236743379328646E-2</c:v>
                </c:pt>
                <c:pt idx="5">
                  <c:v>-1.7195203263257085E-2</c:v>
                </c:pt>
                <c:pt idx="6">
                  <c:v>-1.1928492618091594E-2</c:v>
                </c:pt>
                <c:pt idx="7">
                  <c:v>-7.4366114438321751E-3</c:v>
                </c:pt>
                <c:pt idx="8">
                  <c:v>-3.7195597404788214E-3</c:v>
                </c:pt>
                <c:pt idx="9">
                  <c:v>-7.7733750803152951E-4</c:v>
                </c:pt>
                <c:pt idx="10">
                  <c:v>1.3900552535096936E-3</c:v>
                </c:pt>
                <c:pt idx="11">
                  <c:v>2.7826185441448504E-3</c:v>
                </c:pt>
                <c:pt idx="12">
                  <c:v>3.4003523638739411E-3</c:v>
                </c:pt>
                <c:pt idx="13">
                  <c:v>3.2432567126969647E-3</c:v>
                </c:pt>
                <c:pt idx="14">
                  <c:v>2.311331590613923E-3</c:v>
                </c:pt>
                <c:pt idx="15">
                  <c:v>6.0457699762481371E-4</c:v>
                </c:pt>
                <c:pt idx="16">
                  <c:v>-1.8770070662703618E-3</c:v>
                </c:pt>
                <c:pt idx="17">
                  <c:v>-5.1334206010716036E-3</c:v>
                </c:pt>
                <c:pt idx="18">
                  <c:v>-9.1646636067789118E-3</c:v>
                </c:pt>
                <c:pt idx="19">
                  <c:v>-1.3970736083392287E-2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DFA-47DE-94CB-C9D7A851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416224"/>
        <c:axId val="1"/>
      </c:scatterChart>
      <c:valAx>
        <c:axId val="69541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41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66698194257248"/>
          <c:y val="0.92464041994750656"/>
          <c:w val="0.80330440676897374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old!$H$20:$H$20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F7-4661-8143-A4B04EA59C79}"/>
            </c:ext>
          </c:extLst>
        </c:ser>
        <c:ser>
          <c:idx val="1"/>
          <c:order val="1"/>
          <c:tx>
            <c:strRef>
              <c:f>old!$I$20:$I$20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old!$I$21:$I$999</c:f>
              <c:numCache>
                <c:formatCode>General</c:formatCode>
                <c:ptCount val="979"/>
                <c:pt idx="1">
                  <c:v>-0.1520410000011907</c:v>
                </c:pt>
                <c:pt idx="2">
                  <c:v>-0.15245950000098674</c:v>
                </c:pt>
                <c:pt idx="3">
                  <c:v>-0.15271400000347057</c:v>
                </c:pt>
                <c:pt idx="5">
                  <c:v>-0.17028399999981048</c:v>
                </c:pt>
                <c:pt idx="6">
                  <c:v>-0.17010250000021188</c:v>
                </c:pt>
                <c:pt idx="8">
                  <c:v>-0.19062600000324892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F7-4661-8143-A4B04EA59C79}"/>
            </c:ext>
          </c:extLst>
        </c:ser>
        <c:ser>
          <c:idx val="3"/>
          <c:order val="2"/>
          <c:tx>
            <c:strRef>
              <c:f>old!$J$20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old!$J$21:$J$999</c:f>
              <c:numCache>
                <c:formatCode>General</c:formatCode>
                <c:ptCount val="979"/>
                <c:pt idx="9">
                  <c:v>-0.20770500000071479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F7-4661-8143-A4B04EA59C79}"/>
            </c:ext>
          </c:extLst>
        </c:ser>
        <c:ser>
          <c:idx val="4"/>
          <c:order val="3"/>
          <c:tx>
            <c:strRef>
              <c:f>old!$K$20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old!$K$21:$K$999</c:f>
              <c:numCache>
                <c:formatCode>General</c:formatCode>
                <c:ptCount val="979"/>
                <c:pt idx="4">
                  <c:v>-0.16722450000088429</c:v>
                </c:pt>
                <c:pt idx="7">
                  <c:v>-0.18988199999876088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F7-4661-8143-A4B04EA59C79}"/>
            </c:ext>
          </c:extLst>
        </c:ser>
        <c:ser>
          <c:idx val="2"/>
          <c:order val="4"/>
          <c:tx>
            <c:strRef>
              <c:f>old!$L$20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F7-4661-8143-A4B04EA59C79}"/>
            </c:ext>
          </c:extLst>
        </c:ser>
        <c:ser>
          <c:idx val="5"/>
          <c:order val="5"/>
          <c:tx>
            <c:strRef>
              <c:f>old!$M$20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F7-4661-8143-A4B04EA59C79}"/>
            </c:ext>
          </c:extLst>
        </c:ser>
        <c:ser>
          <c:idx val="6"/>
          <c:order val="6"/>
          <c:tx>
            <c:strRef>
              <c:f>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1E-4</c:v>
                  </c:pt>
                  <c:pt idx="8">
                    <c:v>3.0000000000000003E-4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F7-4661-8143-A4B04EA59C79}"/>
            </c:ext>
          </c:extLst>
        </c:ser>
        <c:ser>
          <c:idx val="7"/>
          <c:order val="7"/>
          <c:tx>
            <c:strRef>
              <c:f>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old!$O$21:$O$999</c:f>
              <c:numCache>
                <c:formatCode>General</c:formatCode>
                <c:ptCount val="979"/>
                <c:pt idx="0">
                  <c:v>4.1201242344055228E-2</c:v>
                </c:pt>
                <c:pt idx="1">
                  <c:v>-0.15164668697469164</c:v>
                </c:pt>
                <c:pt idx="2">
                  <c:v>-0.15165596475441448</c:v>
                </c:pt>
                <c:pt idx="3">
                  <c:v>-0.15218479819861577</c:v>
                </c:pt>
                <c:pt idx="4">
                  <c:v>-0.16826319045828039</c:v>
                </c:pt>
                <c:pt idx="5">
                  <c:v>-0.17092591323873263</c:v>
                </c:pt>
                <c:pt idx="6">
                  <c:v>-0.17093519101845545</c:v>
                </c:pt>
                <c:pt idx="7">
                  <c:v>-0.18992680611108873</c:v>
                </c:pt>
                <c:pt idx="8">
                  <c:v>-0.19070613960780644</c:v>
                </c:pt>
                <c:pt idx="9">
                  <c:v>-0.20679380964719388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F7-4661-8143-A4B04EA59C79}"/>
            </c:ext>
          </c:extLst>
        </c:ser>
        <c:ser>
          <c:idx val="8"/>
          <c:order val="8"/>
          <c:tx>
            <c:strRef>
              <c:f>old!$R$20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10393</c:v>
                </c:pt>
                <c:pt idx="2">
                  <c:v>10393.5</c:v>
                </c:pt>
                <c:pt idx="3">
                  <c:v>10422</c:v>
                </c:pt>
                <c:pt idx="4">
                  <c:v>11288.5</c:v>
                </c:pt>
                <c:pt idx="5">
                  <c:v>11432</c:v>
                </c:pt>
                <c:pt idx="6">
                  <c:v>11432.5</c:v>
                </c:pt>
                <c:pt idx="7">
                  <c:v>12456</c:v>
                </c:pt>
                <c:pt idx="8">
                  <c:v>12498</c:v>
                </c:pt>
                <c:pt idx="9">
                  <c:v>13365</c:v>
                </c:pt>
              </c:numCache>
            </c:numRef>
          </c:xVal>
          <c:yVal>
            <c:numRef>
              <c:f>old!$R$21:$R$999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F7-4661-8143-A4B04EA59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92104"/>
        <c:axId val="1"/>
      </c:scatterChart>
      <c:valAx>
        <c:axId val="695392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92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4436090225564"/>
          <c:y val="0.92375366568914952"/>
          <c:w val="0.7849624060150376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3007518796992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'old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2-4603-8188-E6A20D066F0F}"/>
            </c:ext>
          </c:extLst>
        </c:ser>
        <c:ser>
          <c:idx val="1"/>
          <c:order val="1"/>
          <c:tx>
            <c:strRef>
              <c:f>'old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2-4603-8188-E6A20D066F0F}"/>
            </c:ext>
          </c:extLst>
        </c:ser>
        <c:ser>
          <c:idx val="3"/>
          <c:order val="2"/>
          <c:tx>
            <c:strRef>
              <c:f>'old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2-4603-8188-E6A20D066F0F}"/>
            </c:ext>
          </c:extLst>
        </c:ser>
        <c:ser>
          <c:idx val="4"/>
          <c:order val="3"/>
          <c:tx>
            <c:strRef>
              <c:f>'old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2'!$K$21:$K$999</c:f>
              <c:numCache>
                <c:formatCode>General</c:formatCode>
                <c:ptCount val="979"/>
                <c:pt idx="1">
                  <c:v>-0.19138462615228491</c:v>
                </c:pt>
                <c:pt idx="2">
                  <c:v>-0.19179385194001952</c:v>
                </c:pt>
                <c:pt idx="3">
                  <c:v>-0.19151972200052114</c:v>
                </c:pt>
                <c:pt idx="4">
                  <c:v>-0.19092520407866687</c:v>
                </c:pt>
                <c:pt idx="5">
                  <c:v>-0.1903558187696035</c:v>
                </c:pt>
                <c:pt idx="6">
                  <c:v>-0.19016504456521943</c:v>
                </c:pt>
                <c:pt idx="7">
                  <c:v>-0.19192272477812367</c:v>
                </c:pt>
                <c:pt idx="9">
                  <c:v>-0.18995801690471126</c:v>
                </c:pt>
                <c:pt idx="10">
                  <c:v>-0.19096023768361192</c:v>
                </c:pt>
                <c:pt idx="11">
                  <c:v>-0.19048840313917026</c:v>
                </c:pt>
                <c:pt idx="12">
                  <c:v>-0.20001601367403055</c:v>
                </c:pt>
                <c:pt idx="13">
                  <c:v>-0.18790428841748508</c:v>
                </c:pt>
                <c:pt idx="14">
                  <c:v>-0.19465015104651684</c:v>
                </c:pt>
                <c:pt idx="15">
                  <c:v>-0.19635215005837381</c:v>
                </c:pt>
                <c:pt idx="16">
                  <c:v>-0.2018127651172108</c:v>
                </c:pt>
                <c:pt idx="17">
                  <c:v>-0.20277456747862743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2-4603-8188-E6A20D066F0F}"/>
            </c:ext>
          </c:extLst>
        </c:ser>
        <c:ser>
          <c:idx val="2"/>
          <c:order val="4"/>
          <c:tx>
            <c:strRef>
              <c:f>'old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2-4603-8188-E6A20D066F0F}"/>
            </c:ext>
          </c:extLst>
        </c:ser>
        <c:ser>
          <c:idx val="5"/>
          <c:order val="5"/>
          <c:tx>
            <c:strRef>
              <c:f>'old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2-4603-8188-E6A20D066F0F}"/>
            </c:ext>
          </c:extLst>
        </c:ser>
        <c:ser>
          <c:idx val="6"/>
          <c:order val="6"/>
          <c:tx>
            <c:strRef>
              <c:f>'old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2-4603-8188-E6A20D066F0F}"/>
            </c:ext>
          </c:extLst>
        </c:ser>
        <c:ser>
          <c:idx val="7"/>
          <c:order val="7"/>
          <c:tx>
            <c:strRef>
              <c:f>'old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2'!$O$21:$O$999</c:f>
              <c:numCache>
                <c:formatCode>General</c:formatCode>
                <c:ptCount val="979"/>
                <c:pt idx="0">
                  <c:v>-0.16297266550093295</c:v>
                </c:pt>
                <c:pt idx="1">
                  <c:v>-0.18605998458282985</c:v>
                </c:pt>
                <c:pt idx="2">
                  <c:v>-0.18606109524425679</c:v>
                </c:pt>
                <c:pt idx="3">
                  <c:v>-0.18612440294559265</c:v>
                </c:pt>
                <c:pt idx="4">
                  <c:v>-0.19073586919026653</c:v>
                </c:pt>
                <c:pt idx="5">
                  <c:v>-0.18836793902802068</c:v>
                </c:pt>
                <c:pt idx="6">
                  <c:v>-0.18836904968944762</c:v>
                </c:pt>
                <c:pt idx="7">
                  <c:v>-0.19266175610458841</c:v>
                </c:pt>
                <c:pt idx="8">
                  <c:v>-0.19298495857982928</c:v>
                </c:pt>
                <c:pt idx="9">
                  <c:v>-0.1880491791984876</c:v>
                </c:pt>
                <c:pt idx="10">
                  <c:v>-0.19064257363040318</c:v>
                </c:pt>
                <c:pt idx="11">
                  <c:v>-0.1925962270803987</c:v>
                </c:pt>
                <c:pt idx="12">
                  <c:v>-0.19724767713644256</c:v>
                </c:pt>
                <c:pt idx="13">
                  <c:v>-0.19608814660671242</c:v>
                </c:pt>
                <c:pt idx="14">
                  <c:v>-0.19666791187157751</c:v>
                </c:pt>
                <c:pt idx="15">
                  <c:v>-0.19673677288004807</c:v>
                </c:pt>
                <c:pt idx="16">
                  <c:v>-0.19883036966983858</c:v>
                </c:pt>
                <c:pt idx="17">
                  <c:v>-0.1991146989951364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2-4603-8188-E6A20D066F0F}"/>
            </c:ext>
          </c:extLst>
        </c:ser>
        <c:ser>
          <c:idx val="8"/>
          <c:order val="8"/>
          <c:tx>
            <c:strRef>
              <c:f>'old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2'!$D$21:$D$58</c:f>
                <c:numCache>
                  <c:formatCode>General</c:formatCode>
                  <c:ptCount val="38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2'!$U$21:$U$999</c:f>
              <c:numCache>
                <c:formatCode>General</c:formatCode>
                <c:ptCount val="979"/>
                <c:pt idx="8">
                  <c:v>-0.18970742981036892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2-4603-8188-E6A20D0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93904"/>
        <c:axId val="1"/>
      </c:scatterChart>
      <c:valAx>
        <c:axId val="695393904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345864661654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889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93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55639097744362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V0546 And - O-C Diagr.</a:t>
            </a:r>
          </a:p>
        </c:rich>
      </c:tx>
      <c:layout>
        <c:manualLayout>
          <c:xMode val="edge"/>
          <c:yMode val="edge"/>
          <c:x val="0.3663668392802250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'old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F1-4F2B-8888-1D8509D5FA15}"/>
            </c:ext>
          </c:extLst>
        </c:ser>
        <c:ser>
          <c:idx val="1"/>
          <c:order val="1"/>
          <c:tx>
            <c:strRef>
              <c:f>'old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F1-4F2B-8888-1D8509D5FA15}"/>
            </c:ext>
          </c:extLst>
        </c:ser>
        <c:ser>
          <c:idx val="3"/>
          <c:order val="2"/>
          <c:tx>
            <c:strRef>
              <c:f>'old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2'!$J$21:$J$999</c:f>
              <c:numCache>
                <c:formatCode>General</c:formatCode>
                <c:ptCount val="979"/>
                <c:pt idx="0">
                  <c:v>-4.0608119386888575E-2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F1-4F2B-8888-1D8509D5FA15}"/>
            </c:ext>
          </c:extLst>
        </c:ser>
        <c:ser>
          <c:idx val="4"/>
          <c:order val="3"/>
          <c:tx>
            <c:strRef>
              <c:f>'old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2'!$K$21:$K$999</c:f>
              <c:numCache>
                <c:formatCode>General</c:formatCode>
                <c:ptCount val="979"/>
                <c:pt idx="1">
                  <c:v>-0.19138462615228491</c:v>
                </c:pt>
                <c:pt idx="2">
                  <c:v>-0.19179385194001952</c:v>
                </c:pt>
                <c:pt idx="3">
                  <c:v>-0.19151972200052114</c:v>
                </c:pt>
                <c:pt idx="4">
                  <c:v>-0.19092520407866687</c:v>
                </c:pt>
                <c:pt idx="5">
                  <c:v>-0.1903558187696035</c:v>
                </c:pt>
                <c:pt idx="6">
                  <c:v>-0.19016504456521943</c:v>
                </c:pt>
                <c:pt idx="7">
                  <c:v>-0.19192272477812367</c:v>
                </c:pt>
                <c:pt idx="9">
                  <c:v>-0.18995801690471126</c:v>
                </c:pt>
                <c:pt idx="10">
                  <c:v>-0.19096023768361192</c:v>
                </c:pt>
                <c:pt idx="11">
                  <c:v>-0.19048840313917026</c:v>
                </c:pt>
                <c:pt idx="12">
                  <c:v>-0.20001601367403055</c:v>
                </c:pt>
                <c:pt idx="13">
                  <c:v>-0.18790428841748508</c:v>
                </c:pt>
                <c:pt idx="14">
                  <c:v>-0.19465015104651684</c:v>
                </c:pt>
                <c:pt idx="15">
                  <c:v>-0.19635215005837381</c:v>
                </c:pt>
                <c:pt idx="16">
                  <c:v>-0.2018127651172108</c:v>
                </c:pt>
                <c:pt idx="17">
                  <c:v>-0.20277456747862743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F1-4F2B-8888-1D8509D5FA15}"/>
            </c:ext>
          </c:extLst>
        </c:ser>
        <c:ser>
          <c:idx val="2"/>
          <c:order val="4"/>
          <c:tx>
            <c:strRef>
              <c:f>'old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F1-4F2B-8888-1D8509D5FA15}"/>
            </c:ext>
          </c:extLst>
        </c:ser>
        <c:ser>
          <c:idx val="5"/>
          <c:order val="5"/>
          <c:tx>
            <c:strRef>
              <c:f>'old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F1-4F2B-8888-1D8509D5FA15}"/>
            </c:ext>
          </c:extLst>
        </c:ser>
        <c:ser>
          <c:idx val="6"/>
          <c:order val="6"/>
          <c:tx>
            <c:strRef>
              <c:f>'old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plus>
            <c:minus>
              <c:numRef>
                <c:f>'old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2.0000000000000001E-4</c:v>
                  </c:pt>
                  <c:pt idx="4">
                    <c:v>3.0000000000000003E-4</c:v>
                  </c:pt>
                  <c:pt idx="5">
                    <c:v>0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1.9E-3</c:v>
                  </c:pt>
                  <c:pt idx="9">
                    <c:v>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0</c:v>
                  </c:pt>
                  <c:pt idx="13">
                    <c:v>5.0000000000000001E-4</c:v>
                  </c:pt>
                  <c:pt idx="14">
                    <c:v>4.0000000000000002E-4</c:v>
                  </c:pt>
                  <c:pt idx="15">
                    <c:v>2.9999999999999997E-4</c:v>
                  </c:pt>
                  <c:pt idx="16">
                    <c:v>1E-4</c:v>
                  </c:pt>
                  <c:pt idx="1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F1-4F2B-8888-1D8509D5FA15}"/>
            </c:ext>
          </c:extLst>
        </c:ser>
        <c:ser>
          <c:idx val="7"/>
          <c:order val="7"/>
          <c:tx>
            <c:strRef>
              <c:f>'old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2'!$O$21:$O$999</c:f>
              <c:numCache>
                <c:formatCode>General</c:formatCode>
                <c:ptCount val="979"/>
                <c:pt idx="0">
                  <c:v>-0.16297266550093295</c:v>
                </c:pt>
                <c:pt idx="1">
                  <c:v>-0.18605998458282985</c:v>
                </c:pt>
                <c:pt idx="2">
                  <c:v>-0.18606109524425679</c:v>
                </c:pt>
                <c:pt idx="3">
                  <c:v>-0.18612440294559265</c:v>
                </c:pt>
                <c:pt idx="4">
                  <c:v>-0.19073586919026653</c:v>
                </c:pt>
                <c:pt idx="5">
                  <c:v>-0.18836793902802068</c:v>
                </c:pt>
                <c:pt idx="6">
                  <c:v>-0.18836904968944762</c:v>
                </c:pt>
                <c:pt idx="7">
                  <c:v>-0.19266175610458841</c:v>
                </c:pt>
                <c:pt idx="8">
                  <c:v>-0.19298495857982928</c:v>
                </c:pt>
                <c:pt idx="9">
                  <c:v>-0.1880491791984876</c:v>
                </c:pt>
                <c:pt idx="10">
                  <c:v>-0.19064257363040318</c:v>
                </c:pt>
                <c:pt idx="11">
                  <c:v>-0.1925962270803987</c:v>
                </c:pt>
                <c:pt idx="12">
                  <c:v>-0.19724767713644256</c:v>
                </c:pt>
                <c:pt idx="13">
                  <c:v>-0.19608814660671242</c:v>
                </c:pt>
                <c:pt idx="14">
                  <c:v>-0.19666791187157751</c:v>
                </c:pt>
                <c:pt idx="15">
                  <c:v>-0.19673677288004807</c:v>
                </c:pt>
                <c:pt idx="16">
                  <c:v>-0.19883036966983858</c:v>
                </c:pt>
                <c:pt idx="17">
                  <c:v>-0.1991146989951364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F1-4F2B-8888-1D8509D5FA15}"/>
            </c:ext>
          </c:extLst>
        </c:ser>
        <c:ser>
          <c:idx val="8"/>
          <c:order val="8"/>
          <c:tx>
            <c:strRef>
              <c:f>'old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'old 2'!$F$21:$F$999</c:f>
              <c:numCache>
                <c:formatCode>General</c:formatCode>
                <c:ptCount val="979"/>
                <c:pt idx="0">
                  <c:v>-13365</c:v>
                </c:pt>
                <c:pt idx="1">
                  <c:v>-2971.5</c:v>
                </c:pt>
                <c:pt idx="2">
                  <c:v>-2971</c:v>
                </c:pt>
                <c:pt idx="3">
                  <c:v>-2942.5</c:v>
                </c:pt>
                <c:pt idx="4">
                  <c:v>-866.5</c:v>
                </c:pt>
                <c:pt idx="5">
                  <c:v>-1932.5</c:v>
                </c:pt>
                <c:pt idx="6">
                  <c:v>-1932</c:v>
                </c:pt>
                <c:pt idx="7">
                  <c:v>0.5</c:v>
                </c:pt>
                <c:pt idx="8">
                  <c:v>146</c:v>
                </c:pt>
                <c:pt idx="9">
                  <c:v>-2076</c:v>
                </c:pt>
                <c:pt idx="10">
                  <c:v>-908.5</c:v>
                </c:pt>
                <c:pt idx="11">
                  <c:v>-29</c:v>
                </c:pt>
                <c:pt idx="12">
                  <c:v>2065</c:v>
                </c:pt>
                <c:pt idx="13">
                  <c:v>1543</c:v>
                </c:pt>
                <c:pt idx="14">
                  <c:v>1804</c:v>
                </c:pt>
                <c:pt idx="15">
                  <c:v>1835</c:v>
                </c:pt>
                <c:pt idx="16">
                  <c:v>2777.5</c:v>
                </c:pt>
                <c:pt idx="17">
                  <c:v>2905.5</c:v>
                </c:pt>
              </c:numCache>
            </c:numRef>
          </c:xVal>
          <c:yVal>
            <c:numRef>
              <c:f>'old 2'!$U$21:$U$999</c:f>
              <c:numCache>
                <c:formatCode>General</c:formatCode>
                <c:ptCount val="979"/>
                <c:pt idx="8">
                  <c:v>-0.18970742981036892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F1-4F2B-8888-1D8509D5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99304"/>
        <c:axId val="1"/>
      </c:scatterChart>
      <c:valAx>
        <c:axId val="695399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99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52228" name="Chart 1">
          <a:extLst>
            <a:ext uri="{FF2B5EF4-FFF2-40B4-BE49-F238E27FC236}">
              <a16:creationId xmlns:a16="http://schemas.microsoft.com/office/drawing/2014/main" id="{58C73C66-0429-F8F3-75E0-6AD9460D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19</xdr:row>
      <xdr:rowOff>9525</xdr:rowOff>
    </xdr:to>
    <xdr:graphicFrame macro="">
      <xdr:nvGraphicFramePr>
        <xdr:cNvPr id="52229" name="Chart 3">
          <a:extLst>
            <a:ext uri="{FF2B5EF4-FFF2-40B4-BE49-F238E27FC236}">
              <a16:creationId xmlns:a16="http://schemas.microsoft.com/office/drawing/2014/main" id="{2E9746EB-DA78-9BDF-829C-3AC5645D6B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97B615-9FEC-D563-392D-2ADF84A26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935940-3910-407D-2A8D-CE29DF77D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400050</xdr:colOff>
      <xdr:row>0</xdr:row>
      <xdr:rowOff>0</xdr:rowOff>
    </xdr:from>
    <xdr:to>
      <xdr:col>27</xdr:col>
      <xdr:colOff>571500</xdr:colOff>
      <xdr:row>19</xdr:row>
      <xdr:rowOff>9525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1CA3B215-E010-CB3F-2D01-2FDA5B1F4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sqref="A1:IV2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1" t="s">
        <v>51</v>
      </c>
      <c r="V1" s="4" t="s">
        <v>21</v>
      </c>
      <c r="W1" s="6" t="s">
        <v>32</v>
      </c>
    </row>
    <row r="2" spans="1:23">
      <c r="A2" t="s">
        <v>34</v>
      </c>
      <c r="B2" s="33" t="s">
        <v>56</v>
      </c>
      <c r="C2" s="3"/>
      <c r="D2" s="3"/>
      <c r="V2" s="64">
        <v>-15000</v>
      </c>
      <c r="W2" s="64">
        <f t="shared" ref="W2:W21" si="0">+D$11+D$12*V2+D$13*V2^2</f>
        <v>-5.5151198552675529E-2</v>
      </c>
    </row>
    <row r="3" spans="1:23" ht="13.5" thickBot="1">
      <c r="V3" s="64">
        <v>-14000</v>
      </c>
      <c r="W3" s="64">
        <f t="shared" si="0"/>
        <v>-4.6010340552979714E-2</v>
      </c>
    </row>
    <row r="4" spans="1:23" ht="14.25" thickTop="1" thickBot="1">
      <c r="A4" s="5" t="s">
        <v>11</v>
      </c>
      <c r="C4" s="28" t="s">
        <v>50</v>
      </c>
      <c r="D4" s="29" t="s">
        <v>50</v>
      </c>
      <c r="V4" s="64">
        <v>-13000</v>
      </c>
      <c r="W4" s="64">
        <f t="shared" si="0"/>
        <v>-3.7644312024189955E-2</v>
      </c>
    </row>
    <row r="5" spans="1:23" ht="13.5" thickTop="1">
      <c r="A5" s="9" t="s">
        <v>40</v>
      </c>
      <c r="B5" s="10"/>
      <c r="C5" s="11">
        <v>-9.5</v>
      </c>
      <c r="D5" s="10" t="s">
        <v>41</v>
      </c>
      <c r="V5" s="64">
        <v>-12000</v>
      </c>
      <c r="W5" s="64">
        <f t="shared" si="0"/>
        <v>-3.0053112966306264E-2</v>
      </c>
    </row>
    <row r="6" spans="1:23">
      <c r="A6" s="5" t="s">
        <v>12</v>
      </c>
      <c r="V6" s="64">
        <v>-11000</v>
      </c>
      <c r="W6" s="64">
        <f t="shared" si="0"/>
        <v>-2.3236743379328646E-2</v>
      </c>
    </row>
    <row r="7" spans="1:23">
      <c r="A7" t="s">
        <v>13</v>
      </c>
      <c r="C7" s="8">
        <v>56594.695413498986</v>
      </c>
      <c r="D7" s="30" t="s">
        <v>52</v>
      </c>
      <c r="V7" s="64">
        <v>-10000</v>
      </c>
      <c r="W7" s="64">
        <f t="shared" si="0"/>
        <v>-1.7195203263257085E-2</v>
      </c>
    </row>
    <row r="8" spans="1:23">
      <c r="A8" t="s">
        <v>14</v>
      </c>
      <c r="C8" s="8">
        <v>0.38301845158096498</v>
      </c>
      <c r="D8" s="30" t="s">
        <v>52</v>
      </c>
      <c r="V8" s="64">
        <v>-9000</v>
      </c>
      <c r="W8" s="64">
        <f t="shared" si="0"/>
        <v>-1.1928492618091594E-2</v>
      </c>
    </row>
    <row r="9" spans="1:23">
      <c r="A9" s="25" t="s">
        <v>45</v>
      </c>
      <c r="B9" s="26">
        <v>32</v>
      </c>
      <c r="C9" s="23" t="str">
        <f>"F"&amp;B9</f>
        <v>F32</v>
      </c>
      <c r="D9" s="24" t="str">
        <f>"G"&amp;B9</f>
        <v>G32</v>
      </c>
      <c r="V9" s="64">
        <v>-8000</v>
      </c>
      <c r="W9" s="64">
        <f t="shared" si="0"/>
        <v>-7.4366114438321751E-3</v>
      </c>
    </row>
    <row r="10" spans="1:23" ht="13.5" thickBot="1">
      <c r="A10" s="10"/>
      <c r="B10" s="10"/>
      <c r="C10" s="4" t="s">
        <v>30</v>
      </c>
      <c r="D10" s="4" t="s">
        <v>31</v>
      </c>
      <c r="E10" s="10"/>
      <c r="V10" s="64">
        <v>-7000</v>
      </c>
      <c r="W10" s="64">
        <f t="shared" si="0"/>
        <v>-3.7195597404788214E-3</v>
      </c>
    </row>
    <row r="11" spans="1:23">
      <c r="A11" s="10" t="s">
        <v>26</v>
      </c>
      <c r="B11" s="10"/>
      <c r="C11" s="22">
        <f ca="1">INTERCEPT(INDIRECT($D$9):G992,INDIRECT($C$9):F992)</f>
        <v>3.7981941967277517E-3</v>
      </c>
      <c r="D11" s="3">
        <f>+E11*F11</f>
        <v>6.0457699762481371E-4</v>
      </c>
      <c r="E11" s="56">
        <v>6.0457699762481371E-4</v>
      </c>
      <c r="F11">
        <v>1</v>
      </c>
      <c r="V11" s="64">
        <v>-6000</v>
      </c>
      <c r="W11" s="64">
        <f t="shared" si="0"/>
        <v>-7.7733750803152951E-4</v>
      </c>
    </row>
    <row r="12" spans="1:23">
      <c r="A12" s="10" t="s">
        <v>27</v>
      </c>
      <c r="B12" s="10"/>
      <c r="C12" s="22">
        <f ca="1">SLOPE(INDIRECT($D$9):G992,INDIRECT($C$9):F992)</f>
        <v>-4.4495011329804447E-6</v>
      </c>
      <c r="D12" s="3">
        <f>+E12*F12</f>
        <v>-2.0941693284421422E-6</v>
      </c>
      <c r="E12" s="57">
        <v>-2.0941693284421421E-2</v>
      </c>
      <c r="F12" s="58">
        <v>1E-4</v>
      </c>
      <c r="V12" s="64">
        <v>-5000</v>
      </c>
      <c r="W12" s="64">
        <f t="shared" si="0"/>
        <v>1.3900552535096936E-3</v>
      </c>
    </row>
    <row r="13" spans="1:23" ht="13.5" thickBot="1">
      <c r="A13" s="10" t="s">
        <v>29</v>
      </c>
      <c r="B13" s="10"/>
      <c r="C13" s="3" t="s">
        <v>24</v>
      </c>
      <c r="D13" s="3">
        <f>+E13*F13</f>
        <v>-3.8741473545303323E-10</v>
      </c>
      <c r="E13" s="59">
        <v>-3.8741473545303322E-2</v>
      </c>
      <c r="F13" s="58">
        <v>1E-8</v>
      </c>
      <c r="V13" s="64">
        <v>-4000</v>
      </c>
      <c r="W13" s="64">
        <f t="shared" si="0"/>
        <v>2.7826185441448504E-3</v>
      </c>
    </row>
    <row r="14" spans="1:23">
      <c r="A14" s="10"/>
      <c r="B14" s="10"/>
      <c r="C14" s="10"/>
      <c r="E14">
        <f>SUM(T21:T950)</f>
        <v>2.0648792200159195E-3</v>
      </c>
      <c r="V14" s="64">
        <v>-3000</v>
      </c>
      <c r="W14" s="64">
        <f t="shared" si="0"/>
        <v>3.4003523638739411E-3</v>
      </c>
    </row>
    <row r="15" spans="1:23">
      <c r="A15" s="12" t="s">
        <v>28</v>
      </c>
      <c r="B15" s="10"/>
      <c r="C15" s="13">
        <f ca="1">(C7+C11)+(C8+C12)*INT(MAX(F21:F3533))</f>
        <v>59251.667344120971</v>
      </c>
      <c r="D15" s="24">
        <f>+C7+INT(MAX(F21:F1588))*C8+D11+D12*INT(MAX(F21:F4023))+D13*INT(MAX(F21:F4050)^2)</f>
        <v>59251.661846280622</v>
      </c>
      <c r="E15" s="14" t="s">
        <v>47</v>
      </c>
      <c r="F15" s="11">
        <v>1</v>
      </c>
      <c r="V15" s="64">
        <v>-2000</v>
      </c>
      <c r="W15" s="64">
        <f t="shared" si="0"/>
        <v>3.2432567126969647E-3</v>
      </c>
    </row>
    <row r="16" spans="1:23">
      <c r="A16" s="16" t="s">
        <v>15</v>
      </c>
      <c r="B16" s="10"/>
      <c r="C16" s="17">
        <f ca="1">+C8+C12</f>
        <v>0.38301400207983199</v>
      </c>
      <c r="D16" s="24">
        <f>+C8+D12+2*D13*MAX(F21:F896)</f>
        <v>0.38301098241959686</v>
      </c>
      <c r="E16" s="14" t="s">
        <v>42</v>
      </c>
      <c r="F16" s="15">
        <f ca="1">NOW()+15018.5+$C$5/24</f>
        <v>60095.821743865738</v>
      </c>
      <c r="V16" s="64">
        <v>-1000</v>
      </c>
      <c r="W16" s="64">
        <f t="shared" si="0"/>
        <v>2.311331590613923E-3</v>
      </c>
    </row>
    <row r="17" spans="1:23" ht="13.5" thickBot="1">
      <c r="A17" s="14" t="s">
        <v>39</v>
      </c>
      <c r="B17" s="10"/>
      <c r="C17" s="10">
        <f>COUNT(C21:C2191)</f>
        <v>28</v>
      </c>
      <c r="E17" s="14" t="s">
        <v>48</v>
      </c>
      <c r="F17" s="15">
        <f ca="1">ROUND(2*(F16-$C$7)/$C$8,0)/2+F15</f>
        <v>9142</v>
      </c>
      <c r="V17" s="64">
        <v>0</v>
      </c>
      <c r="W17" s="64">
        <f t="shared" si="0"/>
        <v>6.0457699762481371E-4</v>
      </c>
    </row>
    <row r="18" spans="1:23" ht="14.25" thickTop="1" thickBot="1">
      <c r="A18" s="5" t="s">
        <v>4</v>
      </c>
      <c r="C18" s="60">
        <f ca="1">+C15</f>
        <v>59251.667344120971</v>
      </c>
      <c r="D18" s="61">
        <f ca="1">C16</f>
        <v>0.38301400207983199</v>
      </c>
      <c r="E18" s="14" t="s">
        <v>49</v>
      </c>
      <c r="F18" s="24">
        <f ca="1">ROUND(2*(F16-$C$15)/$C$16,0)/2+F15</f>
        <v>2205</v>
      </c>
      <c r="V18" s="64">
        <v>1000</v>
      </c>
      <c r="W18" s="64">
        <f t="shared" si="0"/>
        <v>-1.8770070662703618E-3</v>
      </c>
    </row>
    <row r="19" spans="1:23" ht="13.5" thickBot="1">
      <c r="A19" s="5" t="s">
        <v>5</v>
      </c>
      <c r="C19" s="62">
        <f>+D15</f>
        <v>59251.661846280622</v>
      </c>
      <c r="D19" s="63">
        <f>+D16</f>
        <v>0.38301098241959686</v>
      </c>
      <c r="E19" s="14" t="s">
        <v>43</v>
      </c>
      <c r="F19" s="18">
        <f ca="1">+$C$15+$C$16*F18-15018.5-$C$5/24</f>
        <v>45078.109052040338</v>
      </c>
      <c r="V19" s="64">
        <v>2000</v>
      </c>
      <c r="W19" s="64">
        <f t="shared" si="0"/>
        <v>-5.1334206010716036E-3</v>
      </c>
    </row>
    <row r="20" spans="1:23" ht="15" thickBot="1">
      <c r="A20" s="4" t="s">
        <v>17</v>
      </c>
      <c r="B20" s="4" t="s">
        <v>18</v>
      </c>
      <c r="C20" s="4" t="s">
        <v>19</v>
      </c>
      <c r="D20" s="4" t="s">
        <v>23</v>
      </c>
      <c r="E20" s="4" t="s">
        <v>20</v>
      </c>
      <c r="F20" s="4" t="s">
        <v>21</v>
      </c>
      <c r="G20" s="4" t="s">
        <v>22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35</v>
      </c>
      <c r="M20" s="7" t="s">
        <v>36</v>
      </c>
      <c r="N20" s="7" t="s">
        <v>37</v>
      </c>
      <c r="O20" s="7" t="s">
        <v>33</v>
      </c>
      <c r="P20" s="65" t="s">
        <v>32</v>
      </c>
      <c r="Q20" s="4" t="s">
        <v>25</v>
      </c>
      <c r="R20" s="66" t="s">
        <v>6</v>
      </c>
      <c r="S20" s="6" t="s">
        <v>7</v>
      </c>
      <c r="T20" s="66" t="s">
        <v>8</v>
      </c>
      <c r="U20" s="27" t="s">
        <v>46</v>
      </c>
      <c r="V20" s="64">
        <v>3000</v>
      </c>
      <c r="W20" s="64">
        <f t="shared" si="0"/>
        <v>-9.1646636067789118E-3</v>
      </c>
    </row>
    <row r="21" spans="1:23">
      <c r="A21" s="38" t="s">
        <v>52</v>
      </c>
      <c r="B21" s="38"/>
      <c r="C21" s="39">
        <v>51475.6132</v>
      </c>
      <c r="D21" s="39" t="s">
        <v>24</v>
      </c>
      <c r="E21">
        <f t="shared" ref="E21:E33" si="1">+(C21-C$7)/C$8</f>
        <v>-13365.106021313652</v>
      </c>
      <c r="F21">
        <f t="shared" ref="F21:F48" si="2">ROUND(2*E21,0)/2</f>
        <v>-13365</v>
      </c>
      <c r="G21">
        <f t="shared" ref="G21:G26" si="3">+C21-(C$7+F21*C$8)</f>
        <v>-4.0608119386888575E-2</v>
      </c>
      <c r="J21">
        <f>+G21</f>
        <v>-4.0608119386888575E-2</v>
      </c>
      <c r="O21">
        <f t="shared" ref="O21:O33" ca="1" si="4">+C$11+C$12*$F21</f>
        <v>6.3265776839011398E-2</v>
      </c>
      <c r="P21" s="67">
        <f>+D$11+D$12*F21+D$13*F21^2</f>
        <v>-4.0608119386888589E-2</v>
      </c>
      <c r="Q21" s="68">
        <f t="shared" ref="Q21:Q33" si="5">+C21-15018.5</f>
        <v>36457.1132</v>
      </c>
      <c r="R21" s="64">
        <f t="shared" ref="R21:R33" si="6">+(P21-G21)^2</f>
        <v>1.9259299443872359E-34</v>
      </c>
      <c r="S21" s="69">
        <v>0.1</v>
      </c>
      <c r="T21" s="64">
        <f t="shared" ref="T21:T26" si="7">+S21*R21</f>
        <v>1.925929944387236E-35</v>
      </c>
      <c r="U21" s="47"/>
      <c r="V21" s="64">
        <v>4000</v>
      </c>
      <c r="W21" s="64">
        <f t="shared" si="0"/>
        <v>-1.3970736083392287E-2</v>
      </c>
    </row>
    <row r="22" spans="1:23">
      <c r="A22" s="40" t="s">
        <v>53</v>
      </c>
      <c r="B22" s="41" t="s">
        <v>54</v>
      </c>
      <c r="C22" s="42">
        <v>55456.364699999998</v>
      </c>
      <c r="D22" s="42">
        <v>4.0000000000000002E-4</v>
      </c>
      <c r="E22">
        <f t="shared" si="1"/>
        <v>-2971.999674690242</v>
      </c>
      <c r="F22">
        <f t="shared" si="2"/>
        <v>-2972</v>
      </c>
      <c r="G22">
        <f t="shared" si="3"/>
        <v>1.2459963909350336E-4</v>
      </c>
      <c r="K22">
        <f t="shared" ref="K22:K31" si="8">+G22</f>
        <v>1.2459963909350336E-4</v>
      </c>
      <c r="O22">
        <f t="shared" ca="1" si="4"/>
        <v>1.7022111563945633E-2</v>
      </c>
      <c r="Q22" s="2">
        <f t="shared" si="5"/>
        <v>40437.864699999998</v>
      </c>
      <c r="R22" s="64">
        <f t="shared" si="6"/>
        <v>1.552507006223129E-8</v>
      </c>
      <c r="S22" s="3">
        <v>1</v>
      </c>
      <c r="T22" s="64">
        <f t="shared" si="7"/>
        <v>1.552507006223129E-8</v>
      </c>
      <c r="U22" s="47"/>
      <c r="V22" s="64">
        <v>5000</v>
      </c>
      <c r="W22" s="64">
        <f>+D$11+D$12*V22+D$13*V22^2</f>
        <v>-1.9551638030911728E-2</v>
      </c>
    </row>
    <row r="23" spans="1:23">
      <c r="A23" s="40" t="s">
        <v>53</v>
      </c>
      <c r="B23" s="41" t="s">
        <v>55</v>
      </c>
      <c r="C23" s="42">
        <v>55456.555800000002</v>
      </c>
      <c r="D23" s="42">
        <v>2.9999999999999997E-4</v>
      </c>
      <c r="E23">
        <f t="shared" si="1"/>
        <v>-2971.5007431134086</v>
      </c>
      <c r="F23">
        <f t="shared" si="2"/>
        <v>-2971.5</v>
      </c>
      <c r="G23">
        <f t="shared" si="3"/>
        <v>-2.8462614864110947E-4</v>
      </c>
      <c r="K23">
        <f t="shared" si="8"/>
        <v>-2.8462614864110947E-4</v>
      </c>
      <c r="O23">
        <f t="shared" ca="1" si="4"/>
        <v>1.7019886813379143E-2</v>
      </c>
      <c r="Q23" s="2">
        <f t="shared" si="5"/>
        <v>40438.055800000002</v>
      </c>
      <c r="R23" s="64">
        <f t="shared" si="6"/>
        <v>8.101204449027094E-8</v>
      </c>
      <c r="S23" s="3">
        <v>1</v>
      </c>
      <c r="T23" s="64">
        <f t="shared" si="7"/>
        <v>8.101204449027094E-8</v>
      </c>
      <c r="U23" s="47"/>
      <c r="V23" s="64">
        <v>6000</v>
      </c>
      <c r="W23" s="64">
        <f>+D$11+D$12*V23+D$13*V23^2</f>
        <v>-2.5907369449337237E-2</v>
      </c>
    </row>
    <row r="24" spans="1:23">
      <c r="A24" s="40" t="s">
        <v>53</v>
      </c>
      <c r="B24" s="41" t="s">
        <v>54</v>
      </c>
      <c r="C24" s="42">
        <v>55467.472099999999</v>
      </c>
      <c r="D24" s="42">
        <v>2.0000000000000001E-4</v>
      </c>
      <c r="E24">
        <f t="shared" si="1"/>
        <v>-2943.0000274039212</v>
      </c>
      <c r="F24">
        <f t="shared" si="2"/>
        <v>-2943</v>
      </c>
      <c r="G24">
        <f t="shared" si="3"/>
        <v>-1.049620914272964E-5</v>
      </c>
      <c r="K24">
        <f t="shared" si="8"/>
        <v>-1.049620914272964E-5</v>
      </c>
      <c r="O24">
        <f t="shared" ca="1" si="4"/>
        <v>1.6893076031089201E-2</v>
      </c>
      <c r="Q24" s="2">
        <f t="shared" si="5"/>
        <v>40448.972099999999</v>
      </c>
      <c r="R24" s="64">
        <f t="shared" si="6"/>
        <v>1.1017040636792128E-10</v>
      </c>
      <c r="S24" s="3">
        <v>1</v>
      </c>
      <c r="T24" s="64">
        <f t="shared" si="7"/>
        <v>1.1017040636792128E-10</v>
      </c>
      <c r="U24" s="47"/>
      <c r="V24" s="64">
        <v>7000</v>
      </c>
      <c r="W24" s="64">
        <f>+D$11+D$12*V24+D$13*V24^2</f>
        <v>-3.3037930338668808E-2</v>
      </c>
    </row>
    <row r="25" spans="1:23">
      <c r="A25" s="43" t="s">
        <v>61</v>
      </c>
      <c r="B25" s="44" t="s">
        <v>55</v>
      </c>
      <c r="C25" s="39">
        <v>55799.359149999997</v>
      </c>
      <c r="D25" s="39">
        <v>1E-4</v>
      </c>
      <c r="E25">
        <f t="shared" si="1"/>
        <v>-2076.4959500413688</v>
      </c>
      <c r="F25">
        <f t="shared" si="2"/>
        <v>-2076.5</v>
      </c>
      <c r="G25">
        <f t="shared" si="3"/>
        <v>1.5512088866671547E-3</v>
      </c>
      <c r="K25">
        <f t="shared" si="8"/>
        <v>1.5512088866671547E-3</v>
      </c>
      <c r="O25">
        <f t="shared" ca="1" si="4"/>
        <v>1.3037583299361645E-2</v>
      </c>
      <c r="Q25" s="2">
        <f t="shared" si="5"/>
        <v>40780.859149999997</v>
      </c>
      <c r="R25" s="64">
        <f t="shared" si="6"/>
        <v>2.4062490100751535E-6</v>
      </c>
      <c r="S25" s="3">
        <v>1</v>
      </c>
      <c r="T25" s="64">
        <f t="shared" si="7"/>
        <v>2.4062490100751535E-6</v>
      </c>
      <c r="U25" s="47"/>
      <c r="V25" s="64">
        <v>8000</v>
      </c>
      <c r="W25" s="64">
        <f>+D$11+D$12*V25+D$13*V25^2</f>
        <v>-4.0943320698906452E-2</v>
      </c>
    </row>
    <row r="26" spans="1:23">
      <c r="A26" s="43" t="s">
        <v>62</v>
      </c>
      <c r="B26" s="41" t="s">
        <v>54</v>
      </c>
      <c r="C26" s="42">
        <v>55854.321900000003</v>
      </c>
      <c r="D26" s="42">
        <v>0</v>
      </c>
      <c r="E26">
        <f t="shared" si="1"/>
        <v>-1932.9969886384931</v>
      </c>
      <c r="F26">
        <f t="shared" si="2"/>
        <v>-1933</v>
      </c>
      <c r="G26">
        <f t="shared" si="3"/>
        <v>1.1534070217749104E-3</v>
      </c>
      <c r="K26">
        <f t="shared" si="8"/>
        <v>1.1534070217749104E-3</v>
      </c>
      <c r="O26">
        <f t="shared" ca="1" si="4"/>
        <v>1.2399079886778951E-2</v>
      </c>
      <c r="Q26" s="2">
        <f t="shared" si="5"/>
        <v>40835.821900000003</v>
      </c>
      <c r="R26" s="64">
        <f t="shared" si="6"/>
        <v>1.3303477578796686E-6</v>
      </c>
      <c r="S26" s="3">
        <v>1</v>
      </c>
      <c r="T26" s="64">
        <f t="shared" si="7"/>
        <v>1.3303477578796686E-6</v>
      </c>
      <c r="U26" s="47"/>
      <c r="V26" s="64">
        <v>9000</v>
      </c>
      <c r="W26" s="64">
        <f>+D$11+D$12*V26+D$13*V26^2</f>
        <v>-4.962354053005015E-2</v>
      </c>
    </row>
    <row r="27" spans="1:23">
      <c r="A27" s="43" t="s">
        <v>62</v>
      </c>
      <c r="B27" s="41" t="s">
        <v>55</v>
      </c>
      <c r="C27" s="42">
        <v>55854.513599999998</v>
      </c>
      <c r="D27" s="42">
        <v>2.9999999999999997E-4</v>
      </c>
      <c r="E27">
        <f t="shared" si="1"/>
        <v>-1932.4964905575143</v>
      </c>
      <c r="F27">
        <f t="shared" si="2"/>
        <v>-1932.5</v>
      </c>
      <c r="G27">
        <f>+C27-(C$7+F27*C$8)</f>
        <v>1.3441812261589803E-3</v>
      </c>
      <c r="K27">
        <f t="shared" si="8"/>
        <v>1.3441812261589803E-3</v>
      </c>
      <c r="O27">
        <f t="shared" ca="1" si="4"/>
        <v>1.2396855136212461E-2</v>
      </c>
      <c r="Q27" s="2">
        <f t="shared" si="5"/>
        <v>40836.013599999998</v>
      </c>
      <c r="R27" s="64">
        <f t="shared" si="6"/>
        <v>1.8068231687582596E-6</v>
      </c>
      <c r="S27" s="3">
        <v>1</v>
      </c>
      <c r="T27" s="64">
        <f>+S27*R27</f>
        <v>1.8068231687582596E-6</v>
      </c>
      <c r="U27" s="47"/>
      <c r="V27" s="64"/>
      <c r="W27" s="64"/>
    </row>
    <row r="28" spans="1:23">
      <c r="A28" s="43" t="s">
        <v>61</v>
      </c>
      <c r="B28" s="44" t="s">
        <v>54</v>
      </c>
      <c r="C28" s="39">
        <v>56246.532189999998</v>
      </c>
      <c r="D28" s="39">
        <v>1E-4</v>
      </c>
      <c r="E28">
        <f t="shared" si="1"/>
        <v>-908.99856667973427</v>
      </c>
      <c r="F28">
        <f t="shared" si="2"/>
        <v>-909</v>
      </c>
      <c r="G28">
        <f>+C28-(C$7+F28*C$8)</f>
        <v>5.4898810776649043E-4</v>
      </c>
      <c r="K28">
        <f t="shared" si="8"/>
        <v>5.4898810776649043E-4</v>
      </c>
      <c r="O28">
        <f t="shared" ca="1" si="4"/>
        <v>7.8427907266069748E-3</v>
      </c>
      <c r="Q28" s="2">
        <f t="shared" si="5"/>
        <v>41228.032189999998</v>
      </c>
      <c r="R28" s="64">
        <f t="shared" si="6"/>
        <v>3.0138794246903171E-7</v>
      </c>
      <c r="S28" s="3">
        <v>1</v>
      </c>
      <c r="T28" s="64">
        <f>+S28*R28</f>
        <v>3.0138794246903171E-7</v>
      </c>
      <c r="U28" s="47"/>
      <c r="V28" s="64"/>
      <c r="W28" s="64"/>
    </row>
    <row r="29" spans="1:23">
      <c r="A29" s="43" t="s">
        <v>57</v>
      </c>
      <c r="B29" s="44" t="s">
        <v>58</v>
      </c>
      <c r="C29" s="39">
        <v>56262.618999999999</v>
      </c>
      <c r="D29" s="39">
        <v>3.0000000000000003E-4</v>
      </c>
      <c r="E29">
        <f t="shared" si="1"/>
        <v>-866.99847521259994</v>
      </c>
      <c r="F29">
        <f t="shared" si="2"/>
        <v>-867</v>
      </c>
      <c r="G29">
        <f>+C29-(C$7+F29*C$8)</f>
        <v>5.8402170543558896E-4</v>
      </c>
      <c r="K29">
        <f t="shared" si="8"/>
        <v>5.8402170543558896E-4</v>
      </c>
      <c r="O29">
        <f t="shared" ca="1" si="4"/>
        <v>7.6559116790217967E-3</v>
      </c>
      <c r="Q29" s="2">
        <f t="shared" si="5"/>
        <v>41244.118999999999</v>
      </c>
      <c r="R29" s="64">
        <f t="shared" si="6"/>
        <v>3.4108135241989383E-7</v>
      </c>
      <c r="S29" s="3">
        <v>1</v>
      </c>
      <c r="T29" s="64">
        <f>+S29*R29</f>
        <v>3.4108135241989383E-7</v>
      </c>
      <c r="U29" s="47"/>
      <c r="V29" s="64"/>
      <c r="W29" s="64"/>
    </row>
    <row r="30" spans="1:23">
      <c r="A30" s="39" t="s">
        <v>66</v>
      </c>
      <c r="B30" s="44" t="s">
        <v>55</v>
      </c>
      <c r="C30" s="71">
        <v>56583.397389999998</v>
      </c>
      <c r="D30" s="39">
        <v>2.9999999999999997E-4</v>
      </c>
      <c r="E30">
        <f t="shared" si="1"/>
        <v>-29.497334795109566</v>
      </c>
      <c r="F30">
        <f t="shared" si="2"/>
        <v>-29.5</v>
      </c>
      <c r="G30">
        <f>+C30-(C$7+F30*C$8)</f>
        <v>1.0208226522081532E-3</v>
      </c>
      <c r="K30">
        <f t="shared" si="8"/>
        <v>1.0208226522081532E-3</v>
      </c>
      <c r="O30">
        <f t="shared" ca="1" si="4"/>
        <v>3.9294544801506751E-3</v>
      </c>
      <c r="Q30" s="2">
        <f t="shared" si="5"/>
        <v>41564.897389999998</v>
      </c>
      <c r="R30" s="64">
        <f t="shared" si="6"/>
        <v>1.042078887261288E-6</v>
      </c>
      <c r="S30" s="3">
        <v>1</v>
      </c>
      <c r="T30" s="64">
        <f>+S30*R30</f>
        <v>1.042078887261288E-6</v>
      </c>
      <c r="U30" s="47"/>
      <c r="V30" s="64"/>
      <c r="W30" s="64"/>
    </row>
    <row r="31" spans="1:23">
      <c r="A31" s="45" t="s">
        <v>65</v>
      </c>
      <c r="B31" s="38"/>
      <c r="C31" s="70">
        <v>56594.695</v>
      </c>
      <c r="D31" s="39">
        <v>2.0000000000000001E-4</v>
      </c>
      <c r="E31">
        <f t="shared" si="1"/>
        <v>-1.079579808853791E-3</v>
      </c>
      <c r="F31">
        <f t="shared" si="2"/>
        <v>0</v>
      </c>
      <c r="G31">
        <f>+C31-(C$7+F31*C$8)</f>
        <v>-4.1349898674525321E-4</v>
      </c>
      <c r="K31">
        <f t="shared" si="8"/>
        <v>-4.1349898674525321E-4</v>
      </c>
      <c r="O31">
        <f t="shared" ca="1" si="4"/>
        <v>3.7981941967277517E-3</v>
      </c>
      <c r="Q31" s="2">
        <f t="shared" si="5"/>
        <v>41576.195</v>
      </c>
      <c r="R31" s="64">
        <f t="shared" si="6"/>
        <v>1.7098141203935109E-7</v>
      </c>
      <c r="S31" s="3">
        <v>1</v>
      </c>
      <c r="T31" s="64">
        <f>+S31*R31</f>
        <v>1.7098141203935109E-7</v>
      </c>
      <c r="U31" s="47"/>
    </row>
    <row r="32" spans="1:23">
      <c r="A32" s="40" t="s">
        <v>64</v>
      </c>
      <c r="B32" s="41" t="s">
        <v>54</v>
      </c>
      <c r="C32" s="39">
        <v>56650.426399999997</v>
      </c>
      <c r="D32" s="42">
        <v>1.9E-3</v>
      </c>
      <c r="E32">
        <f t="shared" si="1"/>
        <v>145.50470420151393</v>
      </c>
      <c r="F32">
        <f t="shared" si="2"/>
        <v>145.5</v>
      </c>
      <c r="O32">
        <f t="shared" ca="1" si="4"/>
        <v>3.1507917818790971E-3</v>
      </c>
      <c r="Q32" s="2">
        <f t="shared" si="5"/>
        <v>41631.926399999997</v>
      </c>
      <c r="R32" s="64">
        <f t="shared" si="6"/>
        <v>0</v>
      </c>
      <c r="S32" s="3">
        <v>1</v>
      </c>
      <c r="T32" s="64"/>
      <c r="U32" s="47">
        <f>+C32-(C$7+F32*C$8)</f>
        <v>1.8017959810094908E-3</v>
      </c>
    </row>
    <row r="33" spans="1:21">
      <c r="A33" s="75" t="s">
        <v>71</v>
      </c>
      <c r="B33" s="76" t="s">
        <v>55</v>
      </c>
      <c r="C33" s="77">
        <v>57185.504979999998</v>
      </c>
      <c r="D33" s="77">
        <v>5.0000000000000001E-4</v>
      </c>
      <c r="E33">
        <f t="shared" si="1"/>
        <v>1542.5094119156872</v>
      </c>
      <c r="F33">
        <f t="shared" si="2"/>
        <v>1542.5</v>
      </c>
      <c r="G33">
        <f t="shared" ref="G33:G48" si="9">+C33-(C$7+F33*C$8)</f>
        <v>3.6049373738933355E-3</v>
      </c>
      <c r="K33">
        <f t="shared" ref="K33:K48" si="10">+G33</f>
        <v>3.6049373738933355E-3</v>
      </c>
      <c r="O33">
        <f t="shared" ca="1" si="4"/>
        <v>-3.0651613008945838E-3</v>
      </c>
      <c r="Q33" s="2">
        <f t="shared" si="5"/>
        <v>42167.004979999998</v>
      </c>
      <c r="R33" s="64">
        <f t="shared" si="6"/>
        <v>1.2995573469692977E-5</v>
      </c>
      <c r="S33" s="3">
        <v>1</v>
      </c>
      <c r="T33" s="64">
        <f t="shared" ref="T33:T48" si="11">+S33*R33</f>
        <v>1.2995573469692977E-5</v>
      </c>
      <c r="U33" s="47"/>
    </row>
    <row r="34" spans="1:21">
      <c r="A34" s="75" t="s">
        <v>71</v>
      </c>
      <c r="B34" s="76" t="s">
        <v>55</v>
      </c>
      <c r="C34" s="77">
        <v>57285.466050000003</v>
      </c>
      <c r="D34" s="77">
        <v>4.0000000000000002E-4</v>
      </c>
      <c r="E34">
        <f t="shared" ref="E34:E48" si="12">+(C34-C$7)/C$8</f>
        <v>1803.4917995458413</v>
      </c>
      <c r="F34">
        <f t="shared" si="2"/>
        <v>1803.5</v>
      </c>
      <c r="G34">
        <f t="shared" si="9"/>
        <v>-3.140925255138427E-3</v>
      </c>
      <c r="K34">
        <f t="shared" si="10"/>
        <v>-3.140925255138427E-3</v>
      </c>
      <c r="O34">
        <f t="shared" ref="O34:O48" ca="1" si="13">+C$11+C$12*$F34</f>
        <v>-4.2264810966024802E-3</v>
      </c>
      <c r="Q34" s="2">
        <f t="shared" ref="Q34:Q48" si="14">+C34-15018.5</f>
        <v>42266.966050000003</v>
      </c>
      <c r="R34" s="64">
        <f t="shared" ref="R34:R48" si="15">+(P34-G34)^2</f>
        <v>9.8654114583663929E-6</v>
      </c>
      <c r="S34" s="3">
        <v>1</v>
      </c>
      <c r="T34" s="64">
        <f t="shared" si="11"/>
        <v>9.8654114583663929E-6</v>
      </c>
      <c r="U34" s="47"/>
    </row>
    <row r="35" spans="1:21">
      <c r="A35" s="75" t="s">
        <v>71</v>
      </c>
      <c r="B35" s="76" t="s">
        <v>55</v>
      </c>
      <c r="C35" s="77">
        <v>57297.337919999998</v>
      </c>
      <c r="D35" s="77">
        <v>2.9999999999999997E-4</v>
      </c>
      <c r="E35">
        <f t="shared" si="12"/>
        <v>1834.487355898264</v>
      </c>
      <c r="F35">
        <f t="shared" si="2"/>
        <v>1834.5</v>
      </c>
      <c r="G35">
        <f t="shared" si="9"/>
        <v>-4.8429242669953965E-3</v>
      </c>
      <c r="K35">
        <f t="shared" si="10"/>
        <v>-4.8429242669953965E-3</v>
      </c>
      <c r="O35">
        <f t="shared" ca="1" si="13"/>
        <v>-4.3644156317248738E-3</v>
      </c>
      <c r="Q35" s="2">
        <f t="shared" si="14"/>
        <v>42278.837919999998</v>
      </c>
      <c r="R35" s="64">
        <f t="shared" si="15"/>
        <v>2.3453915455852899E-5</v>
      </c>
      <c r="S35" s="3">
        <v>1</v>
      </c>
      <c r="T35" s="64">
        <f t="shared" si="11"/>
        <v>2.3453915455852899E-5</v>
      </c>
      <c r="U35" s="47"/>
    </row>
    <row r="36" spans="1:21">
      <c r="A36" s="72" t="s">
        <v>10</v>
      </c>
      <c r="B36" s="73" t="s">
        <v>54</v>
      </c>
      <c r="C36" s="74">
        <v>57385.428500000002</v>
      </c>
      <c r="D36" s="74" t="s">
        <v>9</v>
      </c>
      <c r="E36" s="82">
        <f t="shared" si="12"/>
        <v>2064.4777901355619</v>
      </c>
      <c r="F36">
        <f t="shared" si="2"/>
        <v>2064.5</v>
      </c>
      <c r="G36">
        <f t="shared" si="9"/>
        <v>-8.5067878899280913E-3</v>
      </c>
      <c r="K36">
        <f t="shared" si="10"/>
        <v>-8.5067878899280913E-3</v>
      </c>
      <c r="O36">
        <f t="shared" ca="1" si="13"/>
        <v>-5.3878008923103765E-3</v>
      </c>
      <c r="Q36" s="2">
        <f t="shared" si="14"/>
        <v>42366.928500000002</v>
      </c>
      <c r="R36" s="64">
        <f t="shared" si="15"/>
        <v>7.2365440204227226E-5</v>
      </c>
      <c r="S36" s="3">
        <v>1</v>
      </c>
      <c r="T36" s="64">
        <f t="shared" si="11"/>
        <v>7.2365440204227226E-5</v>
      </c>
      <c r="U36" s="47"/>
    </row>
    <row r="37" spans="1:21">
      <c r="A37" s="75" t="s">
        <v>71</v>
      </c>
      <c r="B37" s="76" t="s">
        <v>54</v>
      </c>
      <c r="C37" s="77">
        <v>57658.32735</v>
      </c>
      <c r="D37" s="77">
        <v>1E-4</v>
      </c>
      <c r="E37" s="82">
        <f t="shared" si="12"/>
        <v>2776.9730991045362</v>
      </c>
      <c r="F37">
        <f t="shared" si="2"/>
        <v>2777</v>
      </c>
      <c r="G37">
        <f t="shared" si="9"/>
        <v>-1.0303539325832389E-2</v>
      </c>
      <c r="K37">
        <f t="shared" si="10"/>
        <v>-1.0303539325832389E-2</v>
      </c>
      <c r="O37">
        <f t="shared" ca="1" si="13"/>
        <v>-8.5580704495589431E-3</v>
      </c>
      <c r="Q37" s="2">
        <f t="shared" si="14"/>
        <v>42639.82735</v>
      </c>
      <c r="R37" s="64">
        <f t="shared" si="15"/>
        <v>1.0616292263897457E-4</v>
      </c>
      <c r="S37" s="3">
        <v>1</v>
      </c>
      <c r="T37" s="64">
        <f t="shared" si="11"/>
        <v>1.0616292263897457E-4</v>
      </c>
      <c r="U37" s="47"/>
    </row>
    <row r="38" spans="1:21">
      <c r="A38" s="53" t="s">
        <v>74</v>
      </c>
      <c r="B38" s="54" t="s">
        <v>54</v>
      </c>
      <c r="C38" s="55">
        <v>57658.327870000154</v>
      </c>
      <c r="D38" s="55">
        <v>2.0000000000000001E-4</v>
      </c>
      <c r="E38" s="82">
        <f t="shared" si="12"/>
        <v>2776.9744567418825</v>
      </c>
      <c r="F38">
        <f t="shared" si="2"/>
        <v>2777</v>
      </c>
      <c r="G38">
        <f t="shared" si="9"/>
        <v>-9.7835391716216691E-3</v>
      </c>
      <c r="K38">
        <f t="shared" si="10"/>
        <v>-9.7835391716216691E-3</v>
      </c>
      <c r="O38">
        <f t="shared" ca="1" si="13"/>
        <v>-8.5580704495589431E-3</v>
      </c>
      <c r="Q38" s="2">
        <f t="shared" si="14"/>
        <v>42639.827870000154</v>
      </c>
      <c r="R38" s="64">
        <f t="shared" si="15"/>
        <v>9.5717638722655609E-5</v>
      </c>
      <c r="S38" s="3">
        <v>1</v>
      </c>
      <c r="T38" s="64">
        <f t="shared" si="11"/>
        <v>9.5717638722655609E-5</v>
      </c>
    </row>
    <row r="39" spans="1:21">
      <c r="A39" s="77" t="s">
        <v>0</v>
      </c>
      <c r="B39" s="76" t="s">
        <v>55</v>
      </c>
      <c r="C39" s="77">
        <v>57684.949200000003</v>
      </c>
      <c r="D39" s="77" t="s">
        <v>72</v>
      </c>
      <c r="E39" s="82">
        <f t="shared" si="12"/>
        <v>2846.4784973173837</v>
      </c>
      <c r="F39">
        <f t="shared" si="2"/>
        <v>2846.5</v>
      </c>
      <c r="G39">
        <f t="shared" si="9"/>
        <v>-8.2359242005622946E-3</v>
      </c>
      <c r="K39">
        <f t="shared" si="10"/>
        <v>-8.2359242005622946E-3</v>
      </c>
      <c r="O39">
        <f t="shared" ca="1" si="13"/>
        <v>-8.8673107783010848E-3</v>
      </c>
      <c r="Q39" s="2">
        <f t="shared" si="14"/>
        <v>42666.449200000003</v>
      </c>
      <c r="R39" s="64">
        <f t="shared" si="15"/>
        <v>6.7830447437407674E-5</v>
      </c>
      <c r="S39" s="3">
        <v>1</v>
      </c>
      <c r="T39" s="64">
        <f t="shared" si="11"/>
        <v>6.7830447437407674E-5</v>
      </c>
      <c r="U39" s="47"/>
    </row>
    <row r="40" spans="1:21">
      <c r="A40" s="77" t="s">
        <v>0</v>
      </c>
      <c r="B40" s="76" t="s">
        <v>54</v>
      </c>
      <c r="C40" s="77">
        <v>57685.137600000002</v>
      </c>
      <c r="D40" s="77" t="s">
        <v>72</v>
      </c>
      <c r="E40" s="82">
        <f t="shared" si="12"/>
        <v>2846.9703796254589</v>
      </c>
      <c r="F40">
        <f t="shared" si="2"/>
        <v>2847</v>
      </c>
      <c r="G40">
        <f t="shared" si="9"/>
        <v>-1.1345149992848746E-2</v>
      </c>
      <c r="K40">
        <f t="shared" si="10"/>
        <v>-1.1345149992848746E-2</v>
      </c>
      <c r="O40">
        <f t="shared" ca="1" si="13"/>
        <v>-8.8695355288675743E-3</v>
      </c>
      <c r="Q40" s="2">
        <f t="shared" si="14"/>
        <v>42666.637600000002</v>
      </c>
      <c r="R40" s="64">
        <f t="shared" si="15"/>
        <v>1.2871242836023591E-4</v>
      </c>
      <c r="S40" s="3">
        <v>1</v>
      </c>
      <c r="T40" s="64">
        <f t="shared" si="11"/>
        <v>1.2871242836023591E-4</v>
      </c>
      <c r="U40" s="47"/>
    </row>
    <row r="41" spans="1:21">
      <c r="A41" s="77" t="s">
        <v>0</v>
      </c>
      <c r="B41" s="76" t="s">
        <v>55</v>
      </c>
      <c r="C41" s="77">
        <v>57686.098400000003</v>
      </c>
      <c r="D41" s="77" t="s">
        <v>72</v>
      </c>
      <c r="E41" s="82">
        <f t="shared" si="12"/>
        <v>2849.4788749630466</v>
      </c>
      <c r="F41">
        <f t="shared" si="2"/>
        <v>2849.5</v>
      </c>
      <c r="G41">
        <f t="shared" si="9"/>
        <v>-8.0912789417197928E-3</v>
      </c>
      <c r="K41">
        <f t="shared" si="10"/>
        <v>-8.0912789417197928E-3</v>
      </c>
      <c r="O41">
        <f t="shared" ca="1" si="13"/>
        <v>-8.8806592817000252E-3</v>
      </c>
      <c r="Q41" s="2">
        <f t="shared" si="14"/>
        <v>42667.598400000003</v>
      </c>
      <c r="R41" s="64">
        <f t="shared" si="15"/>
        <v>6.5468794912718173E-5</v>
      </c>
      <c r="S41" s="3">
        <v>1</v>
      </c>
      <c r="T41" s="64">
        <f t="shared" si="11"/>
        <v>6.5468794912718173E-5</v>
      </c>
    </row>
    <row r="42" spans="1:21">
      <c r="A42" s="75" t="s">
        <v>71</v>
      </c>
      <c r="B42" s="76" t="s">
        <v>54</v>
      </c>
      <c r="C42" s="77">
        <v>57707.352749999998</v>
      </c>
      <c r="D42" s="77">
        <v>2.9999999999999997E-4</v>
      </c>
      <c r="E42" s="82">
        <f t="shared" si="12"/>
        <v>2904.9705879921839</v>
      </c>
      <c r="F42">
        <f t="shared" si="2"/>
        <v>2905</v>
      </c>
      <c r="G42">
        <f t="shared" si="9"/>
        <v>-1.1265341694524977E-2</v>
      </c>
      <c r="K42">
        <f t="shared" si="10"/>
        <v>-1.1265341694524977E-2</v>
      </c>
      <c r="O42">
        <f t="shared" ca="1" si="13"/>
        <v>-9.1276065945804404E-3</v>
      </c>
      <c r="Q42" s="2">
        <f t="shared" si="14"/>
        <v>42688.852749999998</v>
      </c>
      <c r="R42" s="64">
        <f t="shared" si="15"/>
        <v>1.2690792349440288E-4</v>
      </c>
      <c r="S42" s="3">
        <v>1</v>
      </c>
      <c r="T42" s="64">
        <f t="shared" si="11"/>
        <v>1.2690792349440288E-4</v>
      </c>
      <c r="U42" s="47"/>
    </row>
    <row r="43" spans="1:21">
      <c r="A43" s="53" t="s">
        <v>74</v>
      </c>
      <c r="B43" s="54" t="s">
        <v>54</v>
      </c>
      <c r="C43" s="55">
        <v>57753.314420000184</v>
      </c>
      <c r="D43" s="55">
        <v>2.0000000000000001E-4</v>
      </c>
      <c r="E43" s="82">
        <f t="shared" si="12"/>
        <v>3024.9691672002423</v>
      </c>
      <c r="F43">
        <f t="shared" si="2"/>
        <v>3025</v>
      </c>
      <c r="G43">
        <f t="shared" si="9"/>
        <v>-1.1809531220933422E-2</v>
      </c>
      <c r="K43">
        <f t="shared" si="10"/>
        <v>-1.1809531220933422E-2</v>
      </c>
      <c r="O43">
        <f t="shared" ca="1" si="13"/>
        <v>-9.6615467305380936E-3</v>
      </c>
      <c r="Q43" s="2">
        <f t="shared" si="14"/>
        <v>42734.814420000184</v>
      </c>
      <c r="R43" s="64">
        <f t="shared" si="15"/>
        <v>1.3946502765820124E-4</v>
      </c>
      <c r="S43" s="3">
        <v>1</v>
      </c>
      <c r="T43" s="64">
        <f t="shared" si="11"/>
        <v>1.3946502765820124E-4</v>
      </c>
    </row>
    <row r="44" spans="1:21">
      <c r="A44" s="53" t="s">
        <v>74</v>
      </c>
      <c r="B44" s="54" t="s">
        <v>54</v>
      </c>
      <c r="C44" s="55">
        <v>57776.295299999882</v>
      </c>
      <c r="D44" s="55">
        <v>2.0000000000000001E-4</v>
      </c>
      <c r="E44" s="82">
        <f t="shared" si="12"/>
        <v>3084.9685742910501</v>
      </c>
      <c r="F44">
        <f t="shared" si="2"/>
        <v>3085</v>
      </c>
      <c r="G44">
        <f t="shared" si="9"/>
        <v>-1.2036626379995141E-2</v>
      </c>
      <c r="K44">
        <f t="shared" si="10"/>
        <v>-1.2036626379995141E-2</v>
      </c>
      <c r="O44">
        <f t="shared" ca="1" si="13"/>
        <v>-9.9285167985169193E-3</v>
      </c>
      <c r="Q44" s="2">
        <f t="shared" si="14"/>
        <v>42757.795299999882</v>
      </c>
      <c r="R44" s="64">
        <f t="shared" si="15"/>
        <v>1.4488037461159493E-4</v>
      </c>
      <c r="S44" s="3">
        <v>1</v>
      </c>
      <c r="T44" s="64">
        <f t="shared" si="11"/>
        <v>1.4488037461159493E-4</v>
      </c>
    </row>
    <row r="45" spans="1:21">
      <c r="A45" s="75" t="s">
        <v>1</v>
      </c>
      <c r="B45" s="83" t="s">
        <v>54</v>
      </c>
      <c r="C45" s="84">
        <v>58023.341699999997</v>
      </c>
      <c r="D45" s="84">
        <v>8.0000000000000004E-4</v>
      </c>
      <c r="E45" s="82">
        <f t="shared" si="12"/>
        <v>3729.9672655561712</v>
      </c>
      <c r="F45">
        <f t="shared" si="2"/>
        <v>3730</v>
      </c>
      <c r="G45">
        <f t="shared" si="9"/>
        <v>-1.2537895985587966E-2</v>
      </c>
      <c r="K45">
        <f t="shared" si="10"/>
        <v>-1.2537895985587966E-2</v>
      </c>
      <c r="O45">
        <f t="shared" ca="1" si="13"/>
        <v>-1.2798445029289307E-2</v>
      </c>
      <c r="Q45" s="2">
        <f t="shared" si="14"/>
        <v>43004.841699999997</v>
      </c>
      <c r="R45" s="64">
        <f t="shared" si="15"/>
        <v>1.5719883574542281E-4</v>
      </c>
      <c r="S45" s="3">
        <v>1</v>
      </c>
      <c r="T45" s="64">
        <f t="shared" si="11"/>
        <v>1.5719883574542281E-4</v>
      </c>
      <c r="U45" s="47"/>
    </row>
    <row r="46" spans="1:21">
      <c r="A46" s="75" t="s">
        <v>1</v>
      </c>
      <c r="B46" s="83" t="s">
        <v>54</v>
      </c>
      <c r="C46" s="84">
        <v>58023.536099999998</v>
      </c>
      <c r="D46" s="84">
        <v>8.0000000000000004E-4</v>
      </c>
      <c r="E46" s="82">
        <f t="shared" si="12"/>
        <v>3730.4748129059085</v>
      </c>
      <c r="F46">
        <f t="shared" si="2"/>
        <v>3730.5</v>
      </c>
      <c r="G46">
        <f t="shared" si="9"/>
        <v>-9.6471217766520567E-3</v>
      </c>
      <c r="K46">
        <f t="shared" si="10"/>
        <v>-9.6471217766520567E-3</v>
      </c>
      <c r="O46">
        <f t="shared" ca="1" si="13"/>
        <v>-1.2800669779855797E-2</v>
      </c>
      <c r="Q46" s="2">
        <f t="shared" si="14"/>
        <v>43005.036099999998</v>
      </c>
      <c r="R46" s="64">
        <f t="shared" si="15"/>
        <v>9.3066958573554334E-5</v>
      </c>
      <c r="S46" s="3">
        <v>1</v>
      </c>
      <c r="T46" s="64">
        <f t="shared" si="11"/>
        <v>9.3066958573554334E-5</v>
      </c>
      <c r="U46" s="47"/>
    </row>
    <row r="47" spans="1:21">
      <c r="A47" s="78" t="s">
        <v>3</v>
      </c>
      <c r="B47" s="79" t="s">
        <v>55</v>
      </c>
      <c r="C47" s="80">
        <v>58036.174599999998</v>
      </c>
      <c r="D47" s="81" t="s">
        <v>2</v>
      </c>
      <c r="E47" s="82">
        <f t="shared" si="12"/>
        <v>3763.4719177394581</v>
      </c>
      <c r="F47">
        <f t="shared" si="2"/>
        <v>3763.5</v>
      </c>
      <c r="G47">
        <f t="shared" si="9"/>
        <v>-1.0756023948488291E-2</v>
      </c>
      <c r="K47">
        <f t="shared" si="10"/>
        <v>-1.0756023948488291E-2</v>
      </c>
      <c r="O47">
        <f t="shared" ca="1" si="13"/>
        <v>-1.2947503317244152E-2</v>
      </c>
      <c r="Q47" s="2">
        <f t="shared" si="14"/>
        <v>43017.674599999998</v>
      </c>
      <c r="R47" s="64">
        <f t="shared" si="15"/>
        <v>1.1569205118045365E-4</v>
      </c>
      <c r="S47" s="3">
        <v>1</v>
      </c>
      <c r="T47" s="64">
        <f t="shared" si="11"/>
        <v>1.1569205118045365E-4</v>
      </c>
      <c r="U47" s="47"/>
    </row>
    <row r="48" spans="1:21">
      <c r="A48" s="85" t="s">
        <v>73</v>
      </c>
      <c r="C48" s="8">
        <v>59251.667999999998</v>
      </c>
      <c r="D48" s="8">
        <v>1E-3</v>
      </c>
      <c r="E48" s="82">
        <f t="shared" si="12"/>
        <v>6936.9310421833889</v>
      </c>
      <c r="F48">
        <f t="shared" si="2"/>
        <v>6937</v>
      </c>
      <c r="G48">
        <f t="shared" si="9"/>
        <v>-2.6412116145365871E-2</v>
      </c>
      <c r="K48">
        <f t="shared" si="10"/>
        <v>-2.6412116145365871E-2</v>
      </c>
      <c r="O48">
        <f t="shared" ca="1" si="13"/>
        <v>-2.706799516275759E-2</v>
      </c>
      <c r="Q48" s="2">
        <f t="shared" si="14"/>
        <v>44233.167999999998</v>
      </c>
      <c r="R48" s="64">
        <f t="shared" si="15"/>
        <v>6.9759987927629655E-4</v>
      </c>
      <c r="S48" s="3">
        <v>1</v>
      </c>
      <c r="T48" s="64">
        <f t="shared" si="11"/>
        <v>6.9759987927629655E-4</v>
      </c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46:D48" name="Range1"/>
  </protectedRanges>
  <phoneticPr fontId="8" type="noConversion"/>
  <hyperlinks>
    <hyperlink ref="H3518" r:id="rId1" display="http://vsolj.cetus-net.org/bulletin.html"/>
    <hyperlink ref="H64905" r:id="rId2" display="http://vsolj.cetus-net.org/bulletin.html"/>
    <hyperlink ref="H64898" r:id="rId3" display="http://vsolj.cetus-net.org/bulletin.html"/>
    <hyperlink ref="AP2395" r:id="rId4" display="http://cdsbib.u-strasbg.fr/cgi-bin/cdsbib?1990RMxAA..21..381G"/>
    <hyperlink ref="AP2398" r:id="rId5" display="http://cdsbib.u-strasbg.fr/cgi-bin/cdsbib?1990RMxAA..21..381G"/>
    <hyperlink ref="AP2396" r:id="rId6" display="http://cdsbib.u-strasbg.fr/cgi-bin/cdsbib?1990RMxAA..21..381G"/>
    <hyperlink ref="AP2374" r:id="rId7" display="http://cdsbib.u-strasbg.fr/cgi-bin/cdsbib?1990RMxAA..21..381G"/>
    <hyperlink ref="I64905" r:id="rId8" display="http://vsolj.cetus-net.org/bulletin.html"/>
    <hyperlink ref="AQ2508" r:id="rId9" display="http://cdsbib.u-strasbg.fr/cgi-bin/cdsbib?1990RMxAA..21..381G"/>
    <hyperlink ref="AQ777" r:id="rId10" display="http://cdsbib.u-strasbg.fr/cgi-bin/cdsbib?1990RMxAA..21..381G"/>
    <hyperlink ref="AQ2509" r:id="rId11" display="http://cdsbib.u-strasbg.fr/cgi-bin/cdsbib?1990RMxAA..21..381G"/>
    <hyperlink ref="H64902" r:id="rId12" display="https://www.aavso.org/ejaavso"/>
    <hyperlink ref="H64881" r:id="rId13" display="http://vsolj.cetus-net.org/bulletin.html"/>
    <hyperlink ref="H64874" r:id="rId14" display="https://www.aavso.org/ejaavso"/>
    <hyperlink ref="AP1732" r:id="rId15" display="http://cdsbib.u-strasbg.fr/cgi-bin/cdsbib?1990RMxAA..21..381G"/>
    <hyperlink ref="AP1729" r:id="rId16" display="http://cdsbib.u-strasbg.fr/cgi-bin/cdsbib?1990RMxAA..21..381G"/>
    <hyperlink ref="AP1731" r:id="rId17" display="http://cdsbib.u-strasbg.fr/cgi-bin/cdsbib?1990RMxAA..21..381G"/>
    <hyperlink ref="AP1707" r:id="rId18" display="http://cdsbib.u-strasbg.fr/cgi-bin/cdsbib?1990RMxAA..21..381G"/>
    <hyperlink ref="I64881" r:id="rId19" display="http://vsolj.cetus-net.org/bulletin.html"/>
    <hyperlink ref="AQ1868" r:id="rId20" display="http://cdsbib.u-strasbg.fr/cgi-bin/cdsbib?1990RMxAA..21..381G"/>
    <hyperlink ref="AQ3512" r:id="rId21" display="http://cdsbib.u-strasbg.fr/cgi-bin/cdsbib?1990RMxAA..21..381G"/>
    <hyperlink ref="AQ1869" r:id="rId22" display="http://cdsbib.u-strasbg.fr/cgi-bin/cdsbib?1990RMxAA..21..381G"/>
    <hyperlink ref="H64878" r:id="rId23" display="https://www.aavso.org/ejaavso"/>
    <hyperlink ref="H2719" r:id="rId24" display="http://vsolj.cetus-net.org/bulletin.html"/>
    <hyperlink ref="AP5957" r:id="rId25" display="http://cdsbib.u-strasbg.fr/cgi-bin/cdsbib?1990RMxAA..21..381G"/>
    <hyperlink ref="AP5960" r:id="rId26" display="http://cdsbib.u-strasbg.fr/cgi-bin/cdsbib?1990RMxAA..21..381G"/>
    <hyperlink ref="AP5958" r:id="rId27" display="http://cdsbib.u-strasbg.fr/cgi-bin/cdsbib?1990RMxAA..21..381G"/>
    <hyperlink ref="AP5936" r:id="rId28" display="http://cdsbib.u-strasbg.fr/cgi-bin/cdsbib?1990RMxAA..21..381G"/>
    <hyperlink ref="I2719" r:id="rId29" display="http://vsolj.cetus-net.org/bulletin.html"/>
    <hyperlink ref="AQ6070" r:id="rId30" display="http://cdsbib.u-strasbg.fr/cgi-bin/cdsbib?1990RMxAA..21..381G"/>
    <hyperlink ref="AQ622" r:id="rId31" display="http://cdsbib.u-strasbg.fr/cgi-bin/cdsbib?1990RMxAA..21..381G"/>
    <hyperlink ref="AQ6071" r:id="rId32" display="http://cdsbib.u-strasbg.fr/cgi-bin/cdsbib?1990RMxAA..21..381G"/>
    <hyperlink ref="H64937" r:id="rId33" display="http://vsolj.cetus-net.org/bulletin.html"/>
    <hyperlink ref="H64930" r:id="rId34" display="https://www.aavso.org/ejaavso"/>
    <hyperlink ref="I64937" r:id="rId35" display="http://vsolj.cetus-net.org/bulletin.html"/>
    <hyperlink ref="AQ58587" r:id="rId36" display="http://cdsbib.u-strasbg.fr/cgi-bin/cdsbib?1990RMxAA..21..381G"/>
    <hyperlink ref="H64934" r:id="rId37" display="https://www.aavso.org/ejaavso"/>
    <hyperlink ref="AP5951" r:id="rId38" display="http://cdsbib.u-strasbg.fr/cgi-bin/cdsbib?1990RMxAA..21..381G"/>
    <hyperlink ref="AP5954" r:id="rId39" display="http://cdsbib.u-strasbg.fr/cgi-bin/cdsbib?1990RMxAA..21..381G"/>
    <hyperlink ref="AP5952" r:id="rId40" display="http://cdsbib.u-strasbg.fr/cgi-bin/cdsbib?1990RMxAA..21..381G"/>
    <hyperlink ref="AQ6165" r:id="rId41" display="http://cdsbib.u-strasbg.fr/cgi-bin/cdsbib?1990RMxAA..21..381G"/>
    <hyperlink ref="AQ6169" r:id="rId42" display="http://cdsbib.u-strasbg.fr/cgi-bin/cdsbib?1990RMxAA..21..381G"/>
    <hyperlink ref="AQ674" r:id="rId43" display="http://cdsbib.u-strasbg.fr/cgi-bin/cdsbib?1990RMxAA..21..381G"/>
    <hyperlink ref="I4811" r:id="rId44" display="http://vsolj.cetus-net.org/bulletin.html"/>
    <hyperlink ref="H4811" r:id="rId45" display="http://vsolj.cetus-net.org/bulletin.html"/>
    <hyperlink ref="AQ2237" r:id="rId46" display="http://cdsbib.u-strasbg.fr/cgi-bin/cdsbib?1990RMxAA..21..381G"/>
    <hyperlink ref="AQ2236" r:id="rId47" display="http://cdsbib.u-strasbg.fr/cgi-bin/cdsbib?1990RMxAA..21..381G"/>
    <hyperlink ref="AP1991" r:id="rId48" display="http://cdsbib.u-strasbg.fr/cgi-bin/cdsbib?1990RMxAA..21..381G"/>
    <hyperlink ref="AP2017" r:id="rId49" display="http://cdsbib.u-strasbg.fr/cgi-bin/cdsbib?1990RMxAA..21..381G"/>
    <hyperlink ref="AP2018" r:id="rId50" display="http://cdsbib.u-strasbg.fr/cgi-bin/cdsbib?1990RMxAA..21..381G"/>
    <hyperlink ref="AP2014" r:id="rId51" display="http://cdsbib.u-strasbg.fr/cgi-bin/cdsbib?1990RMxAA..21..381G"/>
  </hyperlinks>
  <pageMargins left="0.75" right="0.75" top="1" bottom="1" header="0.5" footer="0.5"/>
  <headerFooter alignWithMargins="0"/>
  <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E38" sqref="E3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51</v>
      </c>
    </row>
    <row r="2" spans="1:7">
      <c r="A2" t="s">
        <v>34</v>
      </c>
      <c r="B2" s="33" t="s">
        <v>56</v>
      </c>
      <c r="C2" s="3"/>
      <c r="D2" s="3"/>
    </row>
    <row r="3" spans="1:7" ht="13.5" thickBot="1"/>
    <row r="4" spans="1:7" ht="14.25" thickTop="1" thickBot="1">
      <c r="A4" s="5" t="s">
        <v>11</v>
      </c>
      <c r="C4" s="28" t="s">
        <v>50</v>
      </c>
      <c r="D4" s="29" t="s">
        <v>50</v>
      </c>
    </row>
    <row r="6" spans="1:7">
      <c r="A6" s="5" t="s">
        <v>12</v>
      </c>
    </row>
    <row r="7" spans="1:7">
      <c r="A7" t="s">
        <v>13</v>
      </c>
      <c r="C7" s="8">
        <v>51475.6132</v>
      </c>
      <c r="D7" s="30" t="s">
        <v>52</v>
      </c>
    </row>
    <row r="8" spans="1:7">
      <c r="A8" t="s">
        <v>14</v>
      </c>
      <c r="C8" s="8">
        <v>0.38303700000000002</v>
      </c>
      <c r="D8" s="30" t="s">
        <v>52</v>
      </c>
    </row>
    <row r="9" spans="1:7">
      <c r="A9" s="9" t="s">
        <v>40</v>
      </c>
      <c r="B9" s="10"/>
      <c r="C9" s="11">
        <v>8</v>
      </c>
      <c r="D9" s="10" t="s">
        <v>41</v>
      </c>
      <c r="E9" s="10"/>
    </row>
    <row r="10" spans="1:7" ht="13.5" thickBot="1">
      <c r="A10" s="10"/>
      <c r="B10" s="10"/>
      <c r="C10" s="4" t="s">
        <v>30</v>
      </c>
      <c r="D10" s="4" t="s">
        <v>31</v>
      </c>
      <c r="E10" s="10"/>
    </row>
    <row r="11" spans="1:7">
      <c r="A11" s="10" t="s">
        <v>26</v>
      </c>
      <c r="B11" s="10"/>
      <c r="C11" s="22">
        <f ca="1">INTERCEPT(INDIRECT($G$11):G992,INDIRECT($F$11):F992)</f>
        <v>4.1201242344055228E-2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>
      <c r="A12" s="10" t="s">
        <v>27</v>
      </c>
      <c r="B12" s="10"/>
      <c r="C12" s="22">
        <f ca="1">SLOPE(INDIRECT($G$11):G992,INDIRECT($F$11):F992)</f>
        <v>-1.8555559445660239E-5</v>
      </c>
      <c r="D12" s="3"/>
      <c r="E12" s="10"/>
    </row>
    <row r="13" spans="1:7">
      <c r="A13" s="10" t="s">
        <v>29</v>
      </c>
      <c r="B13" s="10"/>
      <c r="C13" s="3" t="s">
        <v>24</v>
      </c>
      <c r="D13" s="14" t="s">
        <v>47</v>
      </c>
      <c r="E13" s="11">
        <v>1</v>
      </c>
    </row>
    <row r="14" spans="1:7">
      <c r="A14" s="10"/>
      <c r="B14" s="10"/>
      <c r="C14" s="10"/>
      <c r="D14" s="14" t="s">
        <v>42</v>
      </c>
      <c r="E14" s="15">
        <f ca="1">NOW()+15018.5+$C$9/24</f>
        <v>60096.550910532409</v>
      </c>
    </row>
    <row r="15" spans="1:7">
      <c r="A15" s="12" t="s">
        <v>28</v>
      </c>
      <c r="B15" s="10"/>
      <c r="C15" s="13">
        <f ca="1">(C7+C11)+(C8+C12)*INT(MAX(F21:F3533))</f>
        <v>56594.695911190356</v>
      </c>
      <c r="D15" s="14" t="s">
        <v>48</v>
      </c>
      <c r="E15" s="15">
        <f ca="1">ROUND(2*(E14-$C$7)/$C$8,0)/2+E13</f>
        <v>22508</v>
      </c>
    </row>
    <row r="16" spans="1:7">
      <c r="A16" s="16" t="s">
        <v>15</v>
      </c>
      <c r="B16" s="10"/>
      <c r="C16" s="17">
        <f ca="1">+C8+C12</f>
        <v>0.38301844444055433</v>
      </c>
      <c r="D16" s="14" t="s">
        <v>49</v>
      </c>
      <c r="E16" s="24">
        <f ca="1">ROUND(2*(E14-$C$15)/$C$16,0)/2+E13</f>
        <v>9144</v>
      </c>
    </row>
    <row r="17" spans="1:18" ht="13.5" thickBot="1">
      <c r="A17" s="14" t="s">
        <v>39</v>
      </c>
      <c r="B17" s="10"/>
      <c r="C17" s="10">
        <f>COUNT(C21:C2191)</f>
        <v>10</v>
      </c>
      <c r="D17" s="14" t="s">
        <v>43</v>
      </c>
      <c r="E17" s="18">
        <f ca="1">+$C$15+$C$16*E16-15018.5-$C$9/24</f>
        <v>45078.183233821452</v>
      </c>
    </row>
    <row r="18" spans="1:18" ht="14.25" thickTop="1" thickBot="1">
      <c r="A18" s="16" t="s">
        <v>16</v>
      </c>
      <c r="B18" s="10"/>
      <c r="C18" s="19">
        <f ca="1">+C15</f>
        <v>56594.695911190356</v>
      </c>
      <c r="D18" s="20">
        <f ca="1">+C16</f>
        <v>0.38301844444055433</v>
      </c>
      <c r="E18" s="21" t="s">
        <v>44</v>
      </c>
    </row>
    <row r="19" spans="1:18" ht="13.5" thickTop="1">
      <c r="A19" s="25" t="s">
        <v>45</v>
      </c>
      <c r="E19" s="26">
        <v>22</v>
      </c>
    </row>
    <row r="20" spans="1:18" ht="13.5" thickBot="1">
      <c r="A20" s="4" t="s">
        <v>17</v>
      </c>
      <c r="B20" s="4" t="s">
        <v>18</v>
      </c>
      <c r="C20" s="4" t="s">
        <v>19</v>
      </c>
      <c r="D20" s="4" t="s">
        <v>23</v>
      </c>
      <c r="E20" s="4" t="s">
        <v>20</v>
      </c>
      <c r="F20" s="4" t="s">
        <v>21</v>
      </c>
      <c r="G20" s="4" t="s">
        <v>22</v>
      </c>
      <c r="H20" s="7" t="s">
        <v>52</v>
      </c>
      <c r="I20" s="7" t="s">
        <v>38</v>
      </c>
      <c r="J20" s="7" t="s">
        <v>60</v>
      </c>
      <c r="K20" s="7" t="s">
        <v>63</v>
      </c>
      <c r="L20" s="7" t="s">
        <v>35</v>
      </c>
      <c r="M20" s="7" t="s">
        <v>36</v>
      </c>
      <c r="N20" s="7" t="s">
        <v>37</v>
      </c>
      <c r="O20" s="7" t="s">
        <v>33</v>
      </c>
      <c r="P20" s="6" t="s">
        <v>32</v>
      </c>
      <c r="Q20" s="4" t="s">
        <v>25</v>
      </c>
      <c r="R20" s="27" t="s">
        <v>46</v>
      </c>
    </row>
    <row r="21" spans="1:18">
      <c r="A21" s="38" t="s">
        <v>52</v>
      </c>
      <c r="B21" s="38"/>
      <c r="C21" s="39">
        <v>51475.6132</v>
      </c>
      <c r="D21" s="39" t="s">
        <v>24</v>
      </c>
      <c r="E21">
        <f t="shared" ref="E21:E30" si="0">+(C21-C$7)/C$8</f>
        <v>0</v>
      </c>
      <c r="F21">
        <f>ROUND(2*E21,0)/2</f>
        <v>0</v>
      </c>
      <c r="G21">
        <f t="shared" ref="G21:G30" si="1">+C21-(C$7+F21*C$8)</f>
        <v>0</v>
      </c>
      <c r="H21">
        <f>+G21</f>
        <v>0</v>
      </c>
      <c r="O21">
        <f t="shared" ref="O21:O30" ca="1" si="2">+C$11+C$12*$F21</f>
        <v>4.1201242344055228E-2</v>
      </c>
      <c r="Q21" s="2">
        <f t="shared" ref="Q21:Q30" si="3">+C21-15018.5</f>
        <v>36457.1132</v>
      </c>
    </row>
    <row r="22" spans="1:18">
      <c r="A22" s="40" t="s">
        <v>53</v>
      </c>
      <c r="B22" s="41" t="s">
        <v>54</v>
      </c>
      <c r="C22" s="42">
        <v>55456.364699999998</v>
      </c>
      <c r="D22" s="42">
        <v>4.0000000000000002E-4</v>
      </c>
      <c r="E22">
        <f t="shared" si="0"/>
        <v>10392.60306445591</v>
      </c>
      <c r="F22" s="37">
        <f t="shared" ref="F22:F30" si="4">ROUND(2*E22,0)/2+0.5</f>
        <v>10393</v>
      </c>
      <c r="G22">
        <f t="shared" si="1"/>
        <v>-0.1520410000011907</v>
      </c>
      <c r="I22">
        <f>+G22</f>
        <v>-0.1520410000011907</v>
      </c>
      <c r="O22">
        <f t="shared" ca="1" si="2"/>
        <v>-0.15164668697469164</v>
      </c>
      <c r="Q22" s="2">
        <f t="shared" si="3"/>
        <v>40437.864699999998</v>
      </c>
    </row>
    <row r="23" spans="1:18">
      <c r="A23" s="40" t="s">
        <v>53</v>
      </c>
      <c r="B23" s="41" t="s">
        <v>55</v>
      </c>
      <c r="C23" s="42">
        <v>55456.555800000002</v>
      </c>
      <c r="D23" s="42">
        <v>2.9999999999999997E-4</v>
      </c>
      <c r="E23">
        <f t="shared" si="0"/>
        <v>10393.101971872175</v>
      </c>
      <c r="F23" s="37">
        <f t="shared" si="4"/>
        <v>10393.5</v>
      </c>
      <c r="G23">
        <f t="shared" si="1"/>
        <v>-0.15245950000098674</v>
      </c>
      <c r="I23">
        <f>+G23</f>
        <v>-0.15245950000098674</v>
      </c>
      <c r="O23">
        <f t="shared" ca="1" si="2"/>
        <v>-0.15165596475441448</v>
      </c>
      <c r="Q23" s="2">
        <f t="shared" si="3"/>
        <v>40438.055800000002</v>
      </c>
    </row>
    <row r="24" spans="1:18">
      <c r="A24" s="40" t="s">
        <v>53</v>
      </c>
      <c r="B24" s="41" t="s">
        <v>54</v>
      </c>
      <c r="C24" s="42">
        <v>55467.472099999999</v>
      </c>
      <c r="D24" s="42">
        <v>2.0000000000000001E-4</v>
      </c>
      <c r="E24">
        <f t="shared" si="0"/>
        <v>10421.601307445493</v>
      </c>
      <c r="F24" s="37">
        <f t="shared" si="4"/>
        <v>10422</v>
      </c>
      <c r="G24">
        <f t="shared" si="1"/>
        <v>-0.15271400000347057</v>
      </c>
      <c r="I24">
        <f>+G24</f>
        <v>-0.15271400000347057</v>
      </c>
      <c r="O24">
        <f t="shared" ca="1" si="2"/>
        <v>-0.15218479819861577</v>
      </c>
      <c r="Q24" s="2">
        <f t="shared" si="3"/>
        <v>40448.972099999999</v>
      </c>
    </row>
    <row r="25" spans="1:18">
      <c r="A25" s="34" t="s">
        <v>61</v>
      </c>
      <c r="B25" s="35" t="s">
        <v>55</v>
      </c>
      <c r="C25" s="36">
        <v>55799.359149999997</v>
      </c>
      <c r="D25" s="36">
        <v>1E-4</v>
      </c>
      <c r="E25">
        <f t="shared" si="0"/>
        <v>11288.063424682203</v>
      </c>
      <c r="F25" s="37">
        <f t="shared" si="4"/>
        <v>11288.5</v>
      </c>
      <c r="G25">
        <f t="shared" si="1"/>
        <v>-0.16722450000088429</v>
      </c>
      <c r="K25">
        <f>+G25</f>
        <v>-0.16722450000088429</v>
      </c>
      <c r="O25">
        <f t="shared" ca="1" si="2"/>
        <v>-0.16826319045828039</v>
      </c>
      <c r="Q25" s="2">
        <f t="shared" si="3"/>
        <v>40780.859149999997</v>
      </c>
    </row>
    <row r="26" spans="1:18">
      <c r="A26" s="34" t="s">
        <v>62</v>
      </c>
      <c r="B26" s="31" t="s">
        <v>54</v>
      </c>
      <c r="C26" s="32">
        <v>55854.321900000003</v>
      </c>
      <c r="D26" s="32">
        <v>0</v>
      </c>
      <c r="E26">
        <f t="shared" si="0"/>
        <v>11431.555437203202</v>
      </c>
      <c r="F26" s="37">
        <f t="shared" si="4"/>
        <v>11432</v>
      </c>
      <c r="G26">
        <f t="shared" si="1"/>
        <v>-0.17028399999981048</v>
      </c>
      <c r="I26">
        <f>+G26</f>
        <v>-0.17028399999981048</v>
      </c>
      <c r="O26">
        <f t="shared" ca="1" si="2"/>
        <v>-0.17092591323873263</v>
      </c>
      <c r="Q26" s="2">
        <f t="shared" si="3"/>
        <v>40835.821900000003</v>
      </c>
    </row>
    <row r="27" spans="1:18">
      <c r="A27" s="34" t="s">
        <v>62</v>
      </c>
      <c r="B27" s="31" t="s">
        <v>55</v>
      </c>
      <c r="C27" s="32">
        <v>55854.513599999998</v>
      </c>
      <c r="D27" s="32">
        <v>2.9999999999999997E-4</v>
      </c>
      <c r="E27">
        <f t="shared" si="0"/>
        <v>11432.055911047753</v>
      </c>
      <c r="F27" s="37">
        <f t="shared" si="4"/>
        <v>11432.5</v>
      </c>
      <c r="G27">
        <f t="shared" si="1"/>
        <v>-0.17010250000021188</v>
      </c>
      <c r="I27">
        <f>+G27</f>
        <v>-0.17010250000021188</v>
      </c>
      <c r="O27">
        <f t="shared" ca="1" si="2"/>
        <v>-0.17093519101845545</v>
      </c>
      <c r="Q27" s="2">
        <f t="shared" si="3"/>
        <v>40836.013599999998</v>
      </c>
    </row>
    <row r="28" spans="1:18">
      <c r="A28" s="34" t="s">
        <v>61</v>
      </c>
      <c r="B28" s="35" t="s">
        <v>54</v>
      </c>
      <c r="C28" s="36">
        <v>56246.532189999998</v>
      </c>
      <c r="D28" s="36">
        <v>1E-4</v>
      </c>
      <c r="E28">
        <f t="shared" si="0"/>
        <v>12455.504272433207</v>
      </c>
      <c r="F28" s="37">
        <f t="shared" si="4"/>
        <v>12456</v>
      </c>
      <c r="G28">
        <f t="shared" si="1"/>
        <v>-0.18988199999876088</v>
      </c>
      <c r="K28">
        <f>+G28</f>
        <v>-0.18988199999876088</v>
      </c>
      <c r="O28">
        <f t="shared" ca="1" si="2"/>
        <v>-0.18992680611108873</v>
      </c>
      <c r="Q28" s="2">
        <f t="shared" si="3"/>
        <v>41228.032189999998</v>
      </c>
    </row>
    <row r="29" spans="1:18">
      <c r="A29" s="43" t="s">
        <v>57</v>
      </c>
      <c r="B29" s="44" t="s">
        <v>58</v>
      </c>
      <c r="C29" s="39">
        <v>56262.618999999999</v>
      </c>
      <c r="D29" s="39">
        <v>3.0000000000000003E-4</v>
      </c>
      <c r="E29">
        <f t="shared" si="0"/>
        <v>12497.502330062105</v>
      </c>
      <c r="F29" s="37">
        <f t="shared" si="4"/>
        <v>12498</v>
      </c>
      <c r="G29">
        <f t="shared" si="1"/>
        <v>-0.19062600000324892</v>
      </c>
      <c r="I29">
        <f>+G29</f>
        <v>-0.19062600000324892</v>
      </c>
      <c r="O29">
        <f t="shared" ca="1" si="2"/>
        <v>-0.19070613960780644</v>
      </c>
      <c r="Q29" s="2">
        <f t="shared" si="3"/>
        <v>41244.118999999999</v>
      </c>
    </row>
    <row r="30" spans="1:18">
      <c r="A30" s="45" t="s">
        <v>59</v>
      </c>
      <c r="B30" s="38"/>
      <c r="C30" s="39">
        <v>56594.695</v>
      </c>
      <c r="D30" s="39">
        <v>2.0000000000000001E-4</v>
      </c>
      <c r="E30">
        <f t="shared" si="0"/>
        <v>13364.457741680308</v>
      </c>
      <c r="F30" s="37">
        <f t="shared" si="4"/>
        <v>13365</v>
      </c>
      <c r="G30">
        <f t="shared" si="1"/>
        <v>-0.20770500000071479</v>
      </c>
      <c r="J30">
        <f>+G30</f>
        <v>-0.20770500000071479</v>
      </c>
      <c r="O30">
        <f t="shared" ca="1" si="2"/>
        <v>-0.20679380964719388</v>
      </c>
      <c r="Q30" s="2">
        <f t="shared" si="3"/>
        <v>41576.195</v>
      </c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51</v>
      </c>
    </row>
    <row r="2" spans="1:6">
      <c r="A2" t="s">
        <v>34</v>
      </c>
      <c r="B2" s="33" t="s">
        <v>56</v>
      </c>
      <c r="C2" s="3"/>
      <c r="D2" s="3"/>
    </row>
    <row r="3" spans="1:6" ht="13.5" thickBot="1"/>
    <row r="4" spans="1:6" ht="14.25" thickTop="1" thickBot="1">
      <c r="A4" s="5" t="s">
        <v>11</v>
      </c>
      <c r="C4" s="28" t="s">
        <v>50</v>
      </c>
      <c r="D4" s="29" t="s">
        <v>50</v>
      </c>
    </row>
    <row r="5" spans="1:6" ht="13.5" thickTop="1">
      <c r="A5" s="9" t="s">
        <v>40</v>
      </c>
      <c r="B5" s="10"/>
      <c r="C5" s="11">
        <v>8</v>
      </c>
      <c r="D5" s="10" t="s">
        <v>41</v>
      </c>
    </row>
    <row r="6" spans="1:6">
      <c r="A6" s="5" t="s">
        <v>12</v>
      </c>
    </row>
    <row r="7" spans="1:6">
      <c r="A7" t="s">
        <v>13</v>
      </c>
      <c r="C7" s="8">
        <v>56594.695413498986</v>
      </c>
      <c r="D7" s="30" t="s">
        <v>52</v>
      </c>
    </row>
    <row r="8" spans="1:6">
      <c r="A8" t="s">
        <v>14</v>
      </c>
      <c r="C8" s="8">
        <v>0.38301845158096498</v>
      </c>
      <c r="D8" s="30" t="s">
        <v>52</v>
      </c>
    </row>
    <row r="9" spans="1:6">
      <c r="A9" s="25" t="s">
        <v>45</v>
      </c>
      <c r="B9" s="26">
        <v>27</v>
      </c>
      <c r="C9" s="23" t="str">
        <f>"F"&amp;B9</f>
        <v>F27</v>
      </c>
      <c r="D9" s="24" t="str">
        <f>"G"&amp;B9</f>
        <v>G27</v>
      </c>
    </row>
    <row r="10" spans="1:6" ht="13.5" thickBot="1">
      <c r="A10" s="10"/>
      <c r="B10" s="10"/>
      <c r="C10" s="4" t="s">
        <v>30</v>
      </c>
      <c r="D10" s="4" t="s">
        <v>31</v>
      </c>
      <c r="E10" s="10"/>
    </row>
    <row r="11" spans="1:6">
      <c r="A11" s="10" t="s">
        <v>26</v>
      </c>
      <c r="B11" s="10"/>
      <c r="C11" s="22">
        <f ca="1">INTERCEPT(INDIRECT($D$9):G992,INDIRECT($C$9):F992)</f>
        <v>-0.19266064544316147</v>
      </c>
      <c r="D11" s="3"/>
      <c r="E11" s="10"/>
    </row>
    <row r="12" spans="1:6">
      <c r="A12" s="10" t="s">
        <v>27</v>
      </c>
      <c r="B12" s="10"/>
      <c r="C12" s="22">
        <f ca="1">SLOPE(INDIRECT($D$9):G992,INDIRECT($C$9):F992)</f>
        <v>-2.2213228538891517E-6</v>
      </c>
      <c r="D12" s="3"/>
      <c r="E12" s="10"/>
    </row>
    <row r="13" spans="1:6">
      <c r="A13" s="10" t="s">
        <v>29</v>
      </c>
      <c r="B13" s="10"/>
      <c r="C13" s="3" t="s">
        <v>24</v>
      </c>
    </row>
    <row r="14" spans="1:6">
      <c r="A14" s="10"/>
      <c r="B14" s="10"/>
      <c r="C14" s="10"/>
    </row>
    <row r="15" spans="1:6">
      <c r="A15" s="12" t="s">
        <v>28</v>
      </c>
      <c r="B15" s="10"/>
      <c r="C15" s="13">
        <f ca="1">(C7+C11)+(C8+C12)*INT(MAX(F21:F3533))</f>
        <v>57707.164901753356</v>
      </c>
      <c r="E15" s="14" t="s">
        <v>47</v>
      </c>
      <c r="F15" s="11">
        <v>1</v>
      </c>
    </row>
    <row r="16" spans="1:6">
      <c r="A16" s="16" t="s">
        <v>15</v>
      </c>
      <c r="B16" s="10"/>
      <c r="C16" s="17">
        <f ca="1">+C8+C12</f>
        <v>0.3830162302581111</v>
      </c>
      <c r="E16" s="14" t="s">
        <v>42</v>
      </c>
      <c r="F16" s="15">
        <f ca="1">NOW()+15018.5+$C$5/24</f>
        <v>60096.550910532409</v>
      </c>
    </row>
    <row r="17" spans="1:21" ht="13.5" thickBot="1">
      <c r="A17" s="14" t="s">
        <v>39</v>
      </c>
      <c r="B17" s="10"/>
      <c r="C17" s="10">
        <f>COUNT(C21:C2191)</f>
        <v>18</v>
      </c>
      <c r="E17" s="14" t="s">
        <v>48</v>
      </c>
      <c r="F17" s="15">
        <f ca="1">ROUND(2*(F16-$C$7)/$C$8,0)/2+F15</f>
        <v>9144</v>
      </c>
    </row>
    <row r="18" spans="1:21" ht="14.25" thickTop="1" thickBot="1">
      <c r="A18" s="16" t="s">
        <v>16</v>
      </c>
      <c r="B18" s="10"/>
      <c r="C18" s="19">
        <f ca="1">+C15</f>
        <v>57707.164901753356</v>
      </c>
      <c r="D18" s="20">
        <f ca="1">+C16</f>
        <v>0.3830162302581111</v>
      </c>
      <c r="E18" s="14" t="s">
        <v>49</v>
      </c>
      <c r="F18" s="24">
        <f ca="1">ROUND(2*(F16-$C$15)/$C$16,0)/2+F15</f>
        <v>6239.5</v>
      </c>
    </row>
    <row r="19" spans="1:21" ht="13.5" thickTop="1">
      <c r="E19" s="14" t="s">
        <v>43</v>
      </c>
      <c r="F19" s="18">
        <f ca="1">+$C$15+$C$16*F18-15018.5-$C$5/24</f>
        <v>45078.161337115504</v>
      </c>
    </row>
    <row r="20" spans="1:21" ht="13.5" thickBot="1">
      <c r="A20" s="4" t="s">
        <v>17</v>
      </c>
      <c r="B20" s="4" t="s">
        <v>18</v>
      </c>
      <c r="C20" s="4" t="s">
        <v>19</v>
      </c>
      <c r="D20" s="4" t="s">
        <v>23</v>
      </c>
      <c r="E20" s="4" t="s">
        <v>20</v>
      </c>
      <c r="F20" s="4" t="s">
        <v>21</v>
      </c>
      <c r="G20" s="4" t="s">
        <v>22</v>
      </c>
      <c r="H20" s="7" t="s">
        <v>67</v>
      </c>
      <c r="I20" s="7" t="s">
        <v>68</v>
      </c>
      <c r="J20" s="7" t="s">
        <v>69</v>
      </c>
      <c r="K20" s="7" t="s">
        <v>70</v>
      </c>
      <c r="L20" s="7" t="s">
        <v>35</v>
      </c>
      <c r="M20" s="7" t="s">
        <v>36</v>
      </c>
      <c r="N20" s="7" t="s">
        <v>37</v>
      </c>
      <c r="O20" s="7" t="s">
        <v>33</v>
      </c>
      <c r="P20" s="6" t="s">
        <v>32</v>
      </c>
      <c r="Q20" s="4" t="s">
        <v>25</v>
      </c>
      <c r="U20" s="27" t="s">
        <v>46</v>
      </c>
    </row>
    <row r="21" spans="1:21">
      <c r="A21" s="38" t="s">
        <v>52</v>
      </c>
      <c r="B21" s="38"/>
      <c r="C21" s="39">
        <v>51475.6132</v>
      </c>
      <c r="D21" s="39" t="s">
        <v>24</v>
      </c>
      <c r="E21">
        <f>+(C21-C$7)/C$8</f>
        <v>-13365.106021313652</v>
      </c>
      <c r="F21">
        <f>ROUND(2*E21,0)/2</f>
        <v>-13365</v>
      </c>
      <c r="G21">
        <f>+C21-(C$7+F21*C$8)</f>
        <v>-4.0608119386888575E-2</v>
      </c>
      <c r="J21">
        <f>+G21</f>
        <v>-4.0608119386888575E-2</v>
      </c>
      <c r="O21">
        <f ca="1">+C$11+C$12*$F21</f>
        <v>-0.16297266550093295</v>
      </c>
      <c r="Q21" s="2">
        <f>+C21-15018.5</f>
        <v>36457.1132</v>
      </c>
      <c r="U21" s="47"/>
    </row>
    <row r="22" spans="1:21">
      <c r="A22" s="40" t="s">
        <v>53</v>
      </c>
      <c r="B22" s="41" t="s">
        <v>54</v>
      </c>
      <c r="C22" s="42">
        <v>55456.364699999998</v>
      </c>
      <c r="D22" s="42">
        <v>4.0000000000000002E-4</v>
      </c>
      <c r="E22">
        <f t="shared" ref="E22:E32" si="0">+(C22-C$7)/C$8</f>
        <v>-2971.999674690242</v>
      </c>
      <c r="F22" s="37">
        <f t="shared" ref="F22:F38" si="1">ROUND(2*E22,0)/2+0.5</f>
        <v>-2971.5</v>
      </c>
      <c r="G22">
        <f t="shared" ref="G22:G28" si="2">+C22-(C$7+F22*C$8)</f>
        <v>-0.19138462615228491</v>
      </c>
      <c r="K22">
        <f t="shared" ref="K22:K28" si="3">+G22</f>
        <v>-0.19138462615228491</v>
      </c>
      <c r="O22">
        <f t="shared" ref="O22:O32" ca="1" si="4">+C$11+C$12*$F22</f>
        <v>-0.18605998458282985</v>
      </c>
      <c r="Q22" s="2">
        <f t="shared" ref="Q22:Q32" si="5">+C22-15018.5</f>
        <v>40437.864699999998</v>
      </c>
      <c r="U22" s="47"/>
    </row>
    <row r="23" spans="1:21">
      <c r="A23" s="40" t="s">
        <v>53</v>
      </c>
      <c r="B23" s="41" t="s">
        <v>55</v>
      </c>
      <c r="C23" s="42">
        <v>55456.555800000002</v>
      </c>
      <c r="D23" s="42">
        <v>2.9999999999999997E-4</v>
      </c>
      <c r="E23">
        <f t="shared" si="0"/>
        <v>-2971.5007431134086</v>
      </c>
      <c r="F23" s="37">
        <f t="shared" si="1"/>
        <v>-2971</v>
      </c>
      <c r="G23">
        <f t="shared" si="2"/>
        <v>-0.19179385194001952</v>
      </c>
      <c r="K23">
        <f t="shared" si="3"/>
        <v>-0.19179385194001952</v>
      </c>
      <c r="O23">
        <f t="shared" ca="1" si="4"/>
        <v>-0.18606109524425679</v>
      </c>
      <c r="Q23" s="2">
        <f t="shared" si="5"/>
        <v>40438.055800000002</v>
      </c>
      <c r="U23" s="47"/>
    </row>
    <row r="24" spans="1:21">
      <c r="A24" s="40" t="s">
        <v>53</v>
      </c>
      <c r="B24" s="41" t="s">
        <v>54</v>
      </c>
      <c r="C24" s="42">
        <v>55467.472099999999</v>
      </c>
      <c r="D24" s="42">
        <v>2.0000000000000001E-4</v>
      </c>
      <c r="E24">
        <f t="shared" si="0"/>
        <v>-2943.0000274039212</v>
      </c>
      <c r="F24" s="37">
        <f t="shared" si="1"/>
        <v>-2942.5</v>
      </c>
      <c r="G24">
        <f t="shared" si="2"/>
        <v>-0.19151972200052114</v>
      </c>
      <c r="K24">
        <f t="shared" si="3"/>
        <v>-0.19151972200052114</v>
      </c>
      <c r="O24">
        <f t="shared" ca="1" si="4"/>
        <v>-0.18612440294559265</v>
      </c>
      <c r="Q24" s="2">
        <f t="shared" si="5"/>
        <v>40448.972099999999</v>
      </c>
      <c r="U24" s="47"/>
    </row>
    <row r="25" spans="1:21">
      <c r="A25" s="43" t="s">
        <v>57</v>
      </c>
      <c r="B25" s="44" t="s">
        <v>58</v>
      </c>
      <c r="C25" s="39">
        <v>56262.618999999999</v>
      </c>
      <c r="D25" s="39">
        <v>3.0000000000000003E-4</v>
      </c>
      <c r="E25">
        <f t="shared" si="0"/>
        <v>-866.99847521259994</v>
      </c>
      <c r="F25" s="37">
        <f t="shared" si="1"/>
        <v>-866.5</v>
      </c>
      <c r="G25">
        <f t="shared" si="2"/>
        <v>-0.19092520407866687</v>
      </c>
      <c r="K25">
        <f t="shared" si="3"/>
        <v>-0.19092520407866687</v>
      </c>
      <c r="O25">
        <f t="shared" ca="1" si="4"/>
        <v>-0.19073586919026653</v>
      </c>
      <c r="Q25" s="2">
        <f t="shared" si="5"/>
        <v>41244.118999999999</v>
      </c>
      <c r="U25" s="47"/>
    </row>
    <row r="26" spans="1:21">
      <c r="A26" s="43" t="s">
        <v>62</v>
      </c>
      <c r="B26" s="41" t="s">
        <v>54</v>
      </c>
      <c r="C26" s="42">
        <v>55854.321900000003</v>
      </c>
      <c r="D26" s="42">
        <v>0</v>
      </c>
      <c r="E26">
        <f t="shared" si="0"/>
        <v>-1932.9969886384931</v>
      </c>
      <c r="F26" s="37">
        <f t="shared" si="1"/>
        <v>-1932.5</v>
      </c>
      <c r="G26">
        <f t="shared" si="2"/>
        <v>-0.1903558187696035</v>
      </c>
      <c r="K26">
        <f t="shared" si="3"/>
        <v>-0.1903558187696035</v>
      </c>
      <c r="O26">
        <f t="shared" ca="1" si="4"/>
        <v>-0.18836793902802068</v>
      </c>
      <c r="Q26" s="2">
        <f t="shared" si="5"/>
        <v>40835.821900000003</v>
      </c>
      <c r="U26" s="47"/>
    </row>
    <row r="27" spans="1:21">
      <c r="A27" s="43" t="s">
        <v>62</v>
      </c>
      <c r="B27" s="41" t="s">
        <v>55</v>
      </c>
      <c r="C27" s="42">
        <v>55854.513599999998</v>
      </c>
      <c r="D27" s="42">
        <v>2.9999999999999997E-4</v>
      </c>
      <c r="E27">
        <f t="shared" si="0"/>
        <v>-1932.4964905575143</v>
      </c>
      <c r="F27" s="37">
        <f t="shared" si="1"/>
        <v>-1932</v>
      </c>
      <c r="G27">
        <f t="shared" si="2"/>
        <v>-0.19016504456521943</v>
      </c>
      <c r="K27">
        <f t="shared" si="3"/>
        <v>-0.19016504456521943</v>
      </c>
      <c r="O27">
        <f t="shared" ca="1" si="4"/>
        <v>-0.18836904968944762</v>
      </c>
      <c r="Q27" s="2">
        <f t="shared" si="5"/>
        <v>40836.013599999998</v>
      </c>
      <c r="U27" s="47"/>
    </row>
    <row r="28" spans="1:21">
      <c r="A28" s="45" t="s">
        <v>65</v>
      </c>
      <c r="B28" s="38"/>
      <c r="C28" s="39">
        <v>56594.695</v>
      </c>
      <c r="D28" s="39">
        <v>2.0000000000000001E-4</v>
      </c>
      <c r="E28">
        <f t="shared" si="0"/>
        <v>-1.079579808853791E-3</v>
      </c>
      <c r="F28" s="37">
        <f t="shared" si="1"/>
        <v>0.5</v>
      </c>
      <c r="G28">
        <f t="shared" si="2"/>
        <v>-0.19192272477812367</v>
      </c>
      <c r="K28">
        <f t="shared" si="3"/>
        <v>-0.19192272477812367</v>
      </c>
      <c r="O28">
        <f t="shared" ca="1" si="4"/>
        <v>-0.19266175610458841</v>
      </c>
      <c r="Q28" s="2">
        <f t="shared" si="5"/>
        <v>41576.195</v>
      </c>
      <c r="U28" s="47"/>
    </row>
    <row r="29" spans="1:21">
      <c r="A29" s="40" t="s">
        <v>64</v>
      </c>
      <c r="B29" s="41" t="s">
        <v>54</v>
      </c>
      <c r="C29" s="39">
        <v>56650.426399999997</v>
      </c>
      <c r="D29" s="42">
        <v>1.9E-3</v>
      </c>
      <c r="E29">
        <f t="shared" si="0"/>
        <v>145.50470420151393</v>
      </c>
      <c r="F29" s="37">
        <f t="shared" si="1"/>
        <v>146</v>
      </c>
      <c r="O29">
        <f t="shared" ca="1" si="4"/>
        <v>-0.19298495857982928</v>
      </c>
      <c r="Q29" s="2">
        <f t="shared" si="5"/>
        <v>41631.926399999997</v>
      </c>
      <c r="U29" s="47">
        <f>+C29-(C$7+F29*C$8)</f>
        <v>-0.18970742981036892</v>
      </c>
    </row>
    <row r="30" spans="1:21">
      <c r="A30" s="43" t="s">
        <v>61</v>
      </c>
      <c r="B30" s="44" t="s">
        <v>55</v>
      </c>
      <c r="C30" s="39">
        <v>55799.359149999997</v>
      </c>
      <c r="D30" s="39">
        <v>1E-4</v>
      </c>
      <c r="E30">
        <f t="shared" si="0"/>
        <v>-2076.4959500413688</v>
      </c>
      <c r="F30" s="37">
        <f t="shared" si="1"/>
        <v>-2076</v>
      </c>
      <c r="G30">
        <f>+C30-(C$7+F30*C$8)</f>
        <v>-0.18995801690471126</v>
      </c>
      <c r="K30">
        <f>+G30</f>
        <v>-0.18995801690471126</v>
      </c>
      <c r="O30">
        <f t="shared" ca="1" si="4"/>
        <v>-0.1880491791984876</v>
      </c>
      <c r="Q30" s="2">
        <f t="shared" si="5"/>
        <v>40780.859149999997</v>
      </c>
      <c r="U30" s="47"/>
    </row>
    <row r="31" spans="1:21">
      <c r="A31" s="43" t="s">
        <v>61</v>
      </c>
      <c r="B31" s="44" t="s">
        <v>54</v>
      </c>
      <c r="C31" s="39">
        <v>56246.532189999998</v>
      </c>
      <c r="D31" s="39">
        <v>1E-4</v>
      </c>
      <c r="E31">
        <f t="shared" si="0"/>
        <v>-908.99856667973427</v>
      </c>
      <c r="F31" s="37">
        <f t="shared" si="1"/>
        <v>-908.5</v>
      </c>
      <c r="G31">
        <f>+C31-(C$7+F31*C$8)</f>
        <v>-0.19096023768361192</v>
      </c>
      <c r="K31">
        <f>+G31</f>
        <v>-0.19096023768361192</v>
      </c>
      <c r="O31">
        <f t="shared" ca="1" si="4"/>
        <v>-0.19064257363040318</v>
      </c>
      <c r="Q31" s="2">
        <f t="shared" si="5"/>
        <v>41228.032189999998</v>
      </c>
      <c r="U31" s="47"/>
    </row>
    <row r="32" spans="1:21">
      <c r="A32" s="46" t="s">
        <v>66</v>
      </c>
      <c r="B32" s="48" t="s">
        <v>55</v>
      </c>
      <c r="C32" s="49">
        <v>56583.397389999998</v>
      </c>
      <c r="D32" s="46">
        <v>2.9999999999999997E-4</v>
      </c>
      <c r="E32">
        <f t="shared" si="0"/>
        <v>-29.497334795109566</v>
      </c>
      <c r="F32" s="37">
        <f t="shared" si="1"/>
        <v>-29</v>
      </c>
      <c r="G32">
        <f>+C32-(C$7+F32*C$8)</f>
        <v>-0.19048840313917026</v>
      </c>
      <c r="K32">
        <f>+G32</f>
        <v>-0.19048840313917026</v>
      </c>
      <c r="O32">
        <f t="shared" ca="1" si="4"/>
        <v>-0.1925962270803987</v>
      </c>
      <c r="Q32" s="2">
        <f t="shared" si="5"/>
        <v>41564.897389999998</v>
      </c>
      <c r="U32" s="47"/>
    </row>
    <row r="33" spans="1:21">
      <c r="A33" s="50" t="s">
        <v>10</v>
      </c>
      <c r="B33" s="51" t="s">
        <v>54</v>
      </c>
      <c r="C33" s="52">
        <v>57385.428500000002</v>
      </c>
      <c r="D33" s="52" t="s">
        <v>9</v>
      </c>
      <c r="E33">
        <f t="shared" ref="E33:E38" si="6">+(C33-C$7)/C$8</f>
        <v>2064.4777901355619</v>
      </c>
      <c r="F33" s="37">
        <f t="shared" si="1"/>
        <v>2065</v>
      </c>
      <c r="G33">
        <f t="shared" ref="G33:G38" si="7">+C33-(C$7+F33*C$8)</f>
        <v>-0.20001601367403055</v>
      </c>
      <c r="K33">
        <f t="shared" ref="K33:K38" si="8">+G33</f>
        <v>-0.20001601367403055</v>
      </c>
      <c r="O33">
        <f t="shared" ref="O33:O38" ca="1" si="9">+C$11+C$12*$F33</f>
        <v>-0.19724767713644256</v>
      </c>
      <c r="Q33" s="2">
        <f t="shared" ref="Q33:Q38" si="10">+C33-15018.5</f>
        <v>42366.928500000002</v>
      </c>
      <c r="U33" s="47"/>
    </row>
    <row r="34" spans="1:21">
      <c r="A34" s="53" t="s">
        <v>71</v>
      </c>
      <c r="B34" s="54" t="s">
        <v>55</v>
      </c>
      <c r="C34" s="55">
        <v>57185.504979999998</v>
      </c>
      <c r="D34" s="55">
        <v>5.0000000000000001E-4</v>
      </c>
      <c r="E34">
        <f t="shared" si="6"/>
        <v>1542.5094119156872</v>
      </c>
      <c r="F34" s="37">
        <f t="shared" si="1"/>
        <v>1543</v>
      </c>
      <c r="G34">
        <f t="shared" si="7"/>
        <v>-0.18790428841748508</v>
      </c>
      <c r="K34">
        <f t="shared" si="8"/>
        <v>-0.18790428841748508</v>
      </c>
      <c r="O34">
        <f t="shared" ca="1" si="9"/>
        <v>-0.19608814660671242</v>
      </c>
      <c r="Q34" s="2">
        <f t="shared" si="10"/>
        <v>42167.004979999998</v>
      </c>
      <c r="U34" s="47"/>
    </row>
    <row r="35" spans="1:21">
      <c r="A35" s="53" t="s">
        <v>71</v>
      </c>
      <c r="B35" s="54" t="s">
        <v>55</v>
      </c>
      <c r="C35" s="55">
        <v>57285.466050000003</v>
      </c>
      <c r="D35" s="55">
        <v>4.0000000000000002E-4</v>
      </c>
      <c r="E35">
        <f t="shared" si="6"/>
        <v>1803.4917995458413</v>
      </c>
      <c r="F35" s="37">
        <f t="shared" si="1"/>
        <v>1804</v>
      </c>
      <c r="G35">
        <f t="shared" si="7"/>
        <v>-0.19465015104651684</v>
      </c>
      <c r="K35">
        <f t="shared" si="8"/>
        <v>-0.19465015104651684</v>
      </c>
      <c r="O35">
        <f t="shared" ca="1" si="9"/>
        <v>-0.19666791187157751</v>
      </c>
      <c r="Q35" s="2">
        <f t="shared" si="10"/>
        <v>42266.966050000003</v>
      </c>
      <c r="U35" s="47"/>
    </row>
    <row r="36" spans="1:21">
      <c r="A36" s="53" t="s">
        <v>71</v>
      </c>
      <c r="B36" s="54" t="s">
        <v>55</v>
      </c>
      <c r="C36" s="55">
        <v>57297.337919999998</v>
      </c>
      <c r="D36" s="55">
        <v>2.9999999999999997E-4</v>
      </c>
      <c r="E36">
        <f t="shared" si="6"/>
        <v>1834.487355898264</v>
      </c>
      <c r="F36" s="37">
        <f t="shared" si="1"/>
        <v>1835</v>
      </c>
      <c r="G36">
        <f t="shared" si="7"/>
        <v>-0.19635215005837381</v>
      </c>
      <c r="K36">
        <f t="shared" si="8"/>
        <v>-0.19635215005837381</v>
      </c>
      <c r="O36">
        <f t="shared" ca="1" si="9"/>
        <v>-0.19673677288004807</v>
      </c>
      <c r="Q36" s="2">
        <f t="shared" si="10"/>
        <v>42278.837919999998</v>
      </c>
      <c r="U36" s="47"/>
    </row>
    <row r="37" spans="1:21">
      <c r="A37" s="53" t="s">
        <v>71</v>
      </c>
      <c r="B37" s="54" t="s">
        <v>54</v>
      </c>
      <c r="C37" s="55">
        <v>57658.32735</v>
      </c>
      <c r="D37" s="55">
        <v>1E-4</v>
      </c>
      <c r="E37">
        <f t="shared" si="6"/>
        <v>2776.9730991045362</v>
      </c>
      <c r="F37" s="37">
        <f t="shared" si="1"/>
        <v>2777.5</v>
      </c>
      <c r="G37">
        <f t="shared" si="7"/>
        <v>-0.2018127651172108</v>
      </c>
      <c r="K37">
        <f t="shared" si="8"/>
        <v>-0.2018127651172108</v>
      </c>
      <c r="O37">
        <f t="shared" ca="1" si="9"/>
        <v>-0.19883036966983858</v>
      </c>
      <c r="Q37" s="2">
        <f t="shared" si="10"/>
        <v>42639.82735</v>
      </c>
      <c r="U37" s="47"/>
    </row>
    <row r="38" spans="1:21">
      <c r="A38" s="53" t="s">
        <v>71</v>
      </c>
      <c r="B38" s="54" t="s">
        <v>54</v>
      </c>
      <c r="C38" s="55">
        <v>57707.352749999998</v>
      </c>
      <c r="D38" s="55">
        <v>2.9999999999999997E-4</v>
      </c>
      <c r="E38">
        <f t="shared" si="6"/>
        <v>2904.9705879921839</v>
      </c>
      <c r="F38" s="37">
        <f t="shared" si="1"/>
        <v>2905.5</v>
      </c>
      <c r="G38">
        <f t="shared" si="7"/>
        <v>-0.20277456747862743</v>
      </c>
      <c r="K38">
        <f t="shared" si="8"/>
        <v>-0.20277456747862743</v>
      </c>
      <c r="O38">
        <f t="shared" ca="1" si="9"/>
        <v>-0.1991146989951364</v>
      </c>
      <c r="Q38" s="2">
        <f t="shared" si="10"/>
        <v>42688.852749999998</v>
      </c>
      <c r="U38" s="47"/>
    </row>
    <row r="39" spans="1:21">
      <c r="C39" s="8"/>
      <c r="D39" s="8"/>
      <c r="U39" s="47"/>
    </row>
    <row r="40" spans="1:21">
      <c r="C40" s="8"/>
      <c r="D40" s="8"/>
      <c r="U40" s="47"/>
    </row>
    <row r="41" spans="1:21">
      <c r="C41" s="8"/>
      <c r="D41" s="8"/>
      <c r="U41" s="47"/>
    </row>
    <row r="42" spans="1:21">
      <c r="C42" s="8"/>
      <c r="D42" s="8"/>
      <c r="U42" s="47"/>
    </row>
    <row r="43" spans="1:21">
      <c r="C43" s="8"/>
      <c r="D43" s="8"/>
      <c r="U43" s="47"/>
    </row>
    <row r="44" spans="1:21">
      <c r="C44" s="8"/>
      <c r="D44" s="8"/>
    </row>
    <row r="45" spans="1:21">
      <c r="C45" s="8"/>
      <c r="D45" s="8"/>
    </row>
    <row r="46" spans="1:21">
      <c r="C46" s="8"/>
      <c r="D46" s="8"/>
    </row>
    <row r="47" spans="1:21">
      <c r="C47" s="8"/>
      <c r="D47" s="8"/>
    </row>
    <row r="48" spans="1:21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sheetProtection sheet="1"/>
  <phoneticPr fontId="8" type="noConversion"/>
  <hyperlinks>
    <hyperlink ref="H351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old</vt:lpstr>
      <vt:lpstr>old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2023-05-31T07:43:18Z</dcterms:modified>
</cp:coreProperties>
</file>