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ED2A223-4EA9-4EC3-A658-98343D823C5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/>
  <c r="Q27" i="1"/>
  <c r="E28" i="1"/>
  <c r="F28" i="1"/>
  <c r="G28" i="1"/>
  <c r="Q28" i="1"/>
  <c r="E26" i="1"/>
  <c r="F26" i="1"/>
  <c r="G26" i="1"/>
  <c r="J26" i="1"/>
  <c r="C14" i="1"/>
  <c r="C13" i="1"/>
  <c r="E21" i="1"/>
  <c r="F21" i="1"/>
  <c r="G21" i="1"/>
  <c r="H21" i="1"/>
  <c r="R21" i="1"/>
  <c r="R19" i="1"/>
  <c r="E18" i="1"/>
  <c r="E24" i="1"/>
  <c r="F24" i="1"/>
  <c r="G24" i="1"/>
  <c r="J24" i="1"/>
  <c r="R24" i="1"/>
  <c r="E25" i="1"/>
  <c r="F25" i="1"/>
  <c r="G25" i="1"/>
  <c r="K25" i="1"/>
  <c r="R25" i="1"/>
  <c r="E22" i="1"/>
  <c r="F22" i="1"/>
  <c r="E23" i="1"/>
  <c r="F23" i="1"/>
  <c r="D14" i="1"/>
  <c r="D13" i="1"/>
  <c r="G22" i="1"/>
  <c r="S22" i="1"/>
  <c r="G23" i="1"/>
  <c r="S23" i="1"/>
  <c r="Q26" i="1"/>
  <c r="Q25" i="1"/>
  <c r="Q21" i="1"/>
  <c r="I22" i="1"/>
  <c r="Q22" i="1"/>
  <c r="Q23" i="1"/>
  <c r="Q24" i="1"/>
  <c r="F12" i="1"/>
  <c r="F13" i="1" s="1"/>
  <c r="C17" i="1"/>
  <c r="J23" i="1"/>
  <c r="S26" i="1"/>
  <c r="J28" i="1"/>
  <c r="R28" i="1"/>
  <c r="J27" i="1"/>
  <c r="R27" i="1"/>
  <c r="S19" i="1"/>
  <c r="E19" i="1"/>
  <c r="D12" i="1"/>
  <c r="D11" i="1"/>
  <c r="C12" i="1"/>
  <c r="C16" i="1" l="1"/>
  <c r="D18" i="1" s="1"/>
  <c r="P28" i="1"/>
  <c r="P23" i="1"/>
  <c r="P21" i="1"/>
  <c r="P25" i="1"/>
  <c r="P26" i="1"/>
  <c r="P27" i="1"/>
  <c r="D15" i="1"/>
  <c r="C19" i="1" s="1"/>
  <c r="P24" i="1"/>
  <c r="P22" i="1"/>
  <c r="D16" i="1"/>
  <c r="D19" i="1" s="1"/>
  <c r="C11" i="1"/>
  <c r="O22" i="1" l="1"/>
  <c r="C15" i="1"/>
  <c r="O24" i="1"/>
  <c r="O21" i="1"/>
  <c r="O28" i="1"/>
  <c r="O23" i="1"/>
  <c r="O25" i="1"/>
  <c r="O27" i="1"/>
  <c r="O26" i="1"/>
  <c r="C18" i="1" l="1"/>
  <c r="F14" i="1"/>
  <c r="F15" i="1" s="1"/>
</calcChain>
</file>

<file path=xl/sharedStrings.xml><?xml version="1.0" encoding="utf-8"?>
<sst xmlns="http://schemas.openxmlformats.org/spreadsheetml/2006/main" count="64" uniqueCount="54">
  <si>
    <t>IBVS 6244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</si>
  <si>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</si>
  <si>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</si>
  <si>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</si>
  <si>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</si>
  <si>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</si>
  <si>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</si>
  <si>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</si>
  <si>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</si>
  <si>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</si>
  <si>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</si>
  <si>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</si>
  <si>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</si>
  <si>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</si>
  <si>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</si>
  <si>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</si>
  <si>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</si>
  <si>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</si>
  <si>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</si>
  <si>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</si>
  <si>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</si>
  <si>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</si>
  <si>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</si>
  <si>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</si>
  <si>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</si>
  <si>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</si>
  <si>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</si>
  <si>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</si>
  <si>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</si>
  <si>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</si>
  <si>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</si>
  <si>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</si>
  <si>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</si>
  <si>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</si>
  <si>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</si>
  <si>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</si>
  <si>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</si>
  <si>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</si>
  <si>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</si>
  <si>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</si>
  <si>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</si>
  <si>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</si>
  <si>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</si>
  <si>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BRNO</t>
  </si>
  <si>
    <t>And</t>
  </si>
  <si>
    <t>OEJV 0142</t>
  </si>
  <si>
    <t>II</t>
  </si>
  <si>
    <t>I</t>
  </si>
  <si>
    <t>as of 2017-11-18</t>
  </si>
  <si>
    <t xml:space="preserve">V0629 And / GSC 3229-1054 </t>
  </si>
  <si>
    <t>GCVS</t>
  </si>
  <si>
    <t>OEJV 0179</t>
  </si>
  <si>
    <t>vis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</si>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</sst>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9" fillId="0" borderId="0"/>
    <xf numFmtId="0" fontId="9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9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0" xfId="0" applyFont="1" applyAlignment="1"/>
    <xf numFmtId="0" fontId="16" fillId="0" borderId="0" xfId="41" applyFont="1"/>
    <xf numFmtId="0" fontId="5" fillId="0" borderId="5" xfId="0" applyFont="1" applyBorder="1">
      <alignment vertical="top"/>
    </xf>
    <xf numFmtId="0" fontId="5" fillId="0" borderId="0" xfId="0" applyFont="1" applyAlignment="1">
      <alignment horizontal="center" vertical="center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16" fillId="0" borderId="0" xfId="41" applyFont="1" applyAlignment="1">
      <alignment horizontal="center" wrapText="1"/>
    </xf>
    <xf numFmtId="0" fontId="16" fillId="0" borderId="0" xfId="41" applyFont="1" applyAlignment="1">
      <alignment horizontal="left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3229-1054 - Prim. O-C Diagr.</a:t>
            </a:r>
          </a:p>
        </c:rich>
      </c:tx>
      <c:layout>
        <c:manualLayout>
          <c:xMode val="edge"/>
          <c:yMode val="edge"/>
          <c:x val="0.2349274531951697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09155333488311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5735.5</c:v>
                </c:pt>
                <c:pt idx="2">
                  <c:v>5736.5</c:v>
                </c:pt>
                <c:pt idx="3">
                  <c:v>5770</c:v>
                </c:pt>
                <c:pt idx="4">
                  <c:v>7199</c:v>
                </c:pt>
                <c:pt idx="5">
                  <c:v>8720.5</c:v>
                </c:pt>
                <c:pt idx="6">
                  <c:v>10197.5</c:v>
                </c:pt>
                <c:pt idx="7">
                  <c:v>10671.5</c:v>
                </c:pt>
              </c:numCache>
            </c:numRef>
          </c:xVal>
          <c:yVal>
            <c:numRef>
              <c:f>Active!$R$21:$R$920</c:f>
              <c:numCache>
                <c:formatCode>General</c:formatCode>
                <c:ptCount val="900"/>
                <c:pt idx="0">
                  <c:v>0</c:v>
                </c:pt>
                <c:pt idx="3">
                  <c:v>-0.12099999999918509</c:v>
                </c:pt>
                <c:pt idx="4">
                  <c:v>-0.15798999999969965</c:v>
                </c:pt>
                <c:pt idx="6">
                  <c:v>0.13839999999618158</c:v>
                </c:pt>
                <c:pt idx="7">
                  <c:v>0.12840000000142027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97-4E86-8FD1-EC11EBCA19B0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5735.5</c:v>
                </c:pt>
                <c:pt idx="2">
                  <c:v>5736.5</c:v>
                </c:pt>
                <c:pt idx="3">
                  <c:v>5770</c:v>
                </c:pt>
                <c:pt idx="4">
                  <c:v>7199</c:v>
                </c:pt>
                <c:pt idx="5">
                  <c:v>8720.5</c:v>
                </c:pt>
                <c:pt idx="6">
                  <c:v>10197.5</c:v>
                </c:pt>
                <c:pt idx="7">
                  <c:v>10671.5</c:v>
                </c:pt>
              </c:numCache>
            </c:numRef>
          </c:xVal>
          <c:yVal>
            <c:numRef>
              <c:f>Active!$O$21:$O$920</c:f>
              <c:numCache>
                <c:formatCode>General</c:formatCode>
                <c:ptCount val="900"/>
                <c:pt idx="0">
                  <c:v>-9.6516885994358523E-2</c:v>
                </c:pt>
                <c:pt idx="1">
                  <c:v>-1.6785600070371942E-2</c:v>
                </c:pt>
                <c:pt idx="2">
                  <c:v>-1.6771698704157317E-2</c:v>
                </c:pt>
                <c:pt idx="3">
                  <c:v>-1.6306002935967345E-2</c:v>
                </c:pt>
                <c:pt idx="4">
                  <c:v>3.559049384733004E-3</c:v>
                </c:pt>
                <c:pt idx="5">
                  <c:v>2.4709978080286243E-2</c:v>
                </c:pt>
                <c:pt idx="6">
                  <c:v>4.5242295979288624E-2</c:v>
                </c:pt>
                <c:pt idx="7">
                  <c:v>5.1831543565021274E-2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97-4E86-8FD1-EC11EBCA1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485104"/>
        <c:axId val="1"/>
      </c:scatterChart>
      <c:valAx>
        <c:axId val="538485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485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164284817828123"/>
          <c:y val="0.92073298764483702"/>
          <c:w val="0.2910605093282259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3229-1054 - O-C Diagr.</a:t>
            </a:r>
          </a:p>
        </c:rich>
      </c:tx>
      <c:layout>
        <c:manualLayout>
          <c:xMode val="edge"/>
          <c:yMode val="edge"/>
          <c:x val="0.3290322580645161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Active!$D$21:$D$493</c:f>
                <c:numCache>
                  <c:formatCode>General</c:formatCode>
                  <c:ptCount val="473"/>
                  <c:pt idx="2">
                    <c:v>0.01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5.7999999999999996E-3</c:v>
                  </c:pt>
                  <c:pt idx="6">
                    <c:v>1E-3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Active!$D$21:$D$493</c:f>
                <c:numCache>
                  <c:formatCode>General</c:formatCode>
                  <c:ptCount val="473"/>
                  <c:pt idx="2">
                    <c:v>0.01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5.7999999999999996E-3</c:v>
                  </c:pt>
                  <c:pt idx="6">
                    <c:v>1E-3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5735.5</c:v>
                </c:pt>
                <c:pt idx="2">
                  <c:v>5736.5</c:v>
                </c:pt>
                <c:pt idx="3">
                  <c:v>5770</c:v>
                </c:pt>
                <c:pt idx="4">
                  <c:v>7199</c:v>
                </c:pt>
                <c:pt idx="5">
                  <c:v>8720.5</c:v>
                </c:pt>
                <c:pt idx="6">
                  <c:v>10197.5</c:v>
                </c:pt>
                <c:pt idx="7">
                  <c:v>10671.5</c:v>
                </c:pt>
              </c:numCache>
            </c:numRef>
          </c:xVal>
          <c:yVal>
            <c:numRef>
              <c:f>Active!$H$21:$H$920</c:f>
              <c:numCache>
                <c:formatCode>General</c:formatCode>
                <c:ptCount val="90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D9-403E-A848-1D2A59D7AA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5735.5</c:v>
                </c:pt>
                <c:pt idx="2">
                  <c:v>5736.5</c:v>
                </c:pt>
                <c:pt idx="3">
                  <c:v>5770</c:v>
                </c:pt>
                <c:pt idx="4">
                  <c:v>7199</c:v>
                </c:pt>
                <c:pt idx="5">
                  <c:v>8720.5</c:v>
                </c:pt>
                <c:pt idx="6">
                  <c:v>10197.5</c:v>
                </c:pt>
                <c:pt idx="7">
                  <c:v>10671.5</c:v>
                </c:pt>
              </c:numCache>
            </c:numRef>
          </c:xVal>
          <c:yVal>
            <c:numRef>
              <c:f>Active!$I$21:$I$920</c:f>
              <c:numCache>
                <c:formatCode>General</c:formatCode>
                <c:ptCount val="900"/>
                <c:pt idx="1">
                  <c:v>-0.12329999999928987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D9-403E-A848-1D2A59D7AA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5735.5</c:v>
                </c:pt>
                <c:pt idx="2">
                  <c:v>5736.5</c:v>
                </c:pt>
                <c:pt idx="3">
                  <c:v>5770</c:v>
                </c:pt>
                <c:pt idx="4">
                  <c:v>7199</c:v>
                </c:pt>
                <c:pt idx="5">
                  <c:v>8720.5</c:v>
                </c:pt>
                <c:pt idx="6">
                  <c:v>10197.5</c:v>
                </c:pt>
                <c:pt idx="7">
                  <c:v>10671.5</c:v>
                </c:pt>
              </c:numCache>
            </c:numRef>
          </c:xVal>
          <c:yVal>
            <c:numRef>
              <c:f>Active!$J$21:$J$920</c:f>
              <c:numCache>
                <c:formatCode>General</c:formatCode>
                <c:ptCount val="900"/>
                <c:pt idx="2">
                  <c:v>-0.12389999999868451</c:v>
                </c:pt>
                <c:pt idx="3">
                  <c:v>-0.12099999999918509</c:v>
                </c:pt>
                <c:pt idx="5">
                  <c:v>-0.18009999999776483</c:v>
                </c:pt>
                <c:pt idx="6">
                  <c:v>0.13839999999618158</c:v>
                </c:pt>
                <c:pt idx="7">
                  <c:v>0.12840000000142027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D9-403E-A848-1D2A59D7AA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5735.5</c:v>
                </c:pt>
                <c:pt idx="2">
                  <c:v>5736.5</c:v>
                </c:pt>
                <c:pt idx="3">
                  <c:v>5770</c:v>
                </c:pt>
                <c:pt idx="4">
                  <c:v>7199</c:v>
                </c:pt>
                <c:pt idx="5">
                  <c:v>8720.5</c:v>
                </c:pt>
                <c:pt idx="6">
                  <c:v>10197.5</c:v>
                </c:pt>
                <c:pt idx="7">
                  <c:v>10671.5</c:v>
                </c:pt>
              </c:numCache>
            </c:numRef>
          </c:xVal>
          <c:yVal>
            <c:numRef>
              <c:f>Active!$K$21:$K$920</c:f>
              <c:numCache>
                <c:formatCode>General</c:formatCode>
                <c:ptCount val="900"/>
                <c:pt idx="4">
                  <c:v>-0.15798999999969965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D9-403E-A848-1D2A59D7AABD}"/>
            </c:ext>
          </c:extLst>
        </c:ser>
        <c:ser>
          <c:idx val="2"/>
          <c:order val="4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5735.5</c:v>
                </c:pt>
                <c:pt idx="2">
                  <c:v>5736.5</c:v>
                </c:pt>
                <c:pt idx="3">
                  <c:v>5770</c:v>
                </c:pt>
                <c:pt idx="4">
                  <c:v>7199</c:v>
                </c:pt>
                <c:pt idx="5">
                  <c:v>8720.5</c:v>
                </c:pt>
                <c:pt idx="6">
                  <c:v>10197.5</c:v>
                </c:pt>
                <c:pt idx="7">
                  <c:v>10671.5</c:v>
                </c:pt>
              </c:numCache>
            </c:numRef>
          </c:xVal>
          <c:yVal>
            <c:numRef>
              <c:f>Active!$O$21:$O$920</c:f>
              <c:numCache>
                <c:formatCode>General</c:formatCode>
                <c:ptCount val="900"/>
                <c:pt idx="0">
                  <c:v>-9.6516885994358523E-2</c:v>
                </c:pt>
                <c:pt idx="1">
                  <c:v>-1.6785600070371942E-2</c:v>
                </c:pt>
                <c:pt idx="2">
                  <c:v>-1.6771698704157317E-2</c:v>
                </c:pt>
                <c:pt idx="3">
                  <c:v>-1.6306002935967345E-2</c:v>
                </c:pt>
                <c:pt idx="4">
                  <c:v>3.559049384733004E-3</c:v>
                </c:pt>
                <c:pt idx="5">
                  <c:v>2.4709978080286243E-2</c:v>
                </c:pt>
                <c:pt idx="6">
                  <c:v>4.5242295979288624E-2</c:v>
                </c:pt>
                <c:pt idx="7">
                  <c:v>5.1831543565021274E-2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D9-403E-A848-1D2A59D7AABD}"/>
            </c:ext>
          </c:extLst>
        </c:ser>
        <c:ser>
          <c:idx val="5"/>
          <c:order val="5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5735.5</c:v>
                </c:pt>
                <c:pt idx="2">
                  <c:v>5736.5</c:v>
                </c:pt>
                <c:pt idx="3">
                  <c:v>5770</c:v>
                </c:pt>
                <c:pt idx="4">
                  <c:v>7199</c:v>
                </c:pt>
                <c:pt idx="5">
                  <c:v>8720.5</c:v>
                </c:pt>
                <c:pt idx="6">
                  <c:v>10197.5</c:v>
                </c:pt>
                <c:pt idx="7">
                  <c:v>10671.5</c:v>
                </c:pt>
              </c:numCache>
            </c:numRef>
          </c:xVal>
          <c:yVal>
            <c:numRef>
              <c:f>Active!$P$21:$P$920</c:f>
              <c:numCache>
                <c:formatCode>General</c:formatCode>
                <c:ptCount val="900"/>
                <c:pt idx="0">
                  <c:v>-1.501062729322214E-2</c:v>
                </c:pt>
                <c:pt idx="1">
                  <c:v>-0.12359048572851918</c:v>
                </c:pt>
                <c:pt idx="2">
                  <c:v>-0.12360941692169071</c:v>
                </c:pt>
                <c:pt idx="3">
                  <c:v>-0.12424361189293688</c:v>
                </c:pt>
                <c:pt idx="4">
                  <c:v>-0.15129628693504996</c:v>
                </c:pt>
                <c:pt idx="5">
                  <c:v>-0.18010009734552931</c:v>
                </c:pt>
                <c:pt idx="6">
                  <c:v>-0.20806146965987571</c:v>
                </c:pt>
                <c:pt idx="7">
                  <c:v>-0.21703485522317983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D9-403E-A848-1D2A59D7AA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5735.5</c:v>
                </c:pt>
                <c:pt idx="2">
                  <c:v>5736.5</c:v>
                </c:pt>
                <c:pt idx="3">
                  <c:v>5770</c:v>
                </c:pt>
                <c:pt idx="4">
                  <c:v>7199</c:v>
                </c:pt>
                <c:pt idx="5">
                  <c:v>8720.5</c:v>
                </c:pt>
                <c:pt idx="6">
                  <c:v>10197.5</c:v>
                </c:pt>
                <c:pt idx="7">
                  <c:v>10671.5</c:v>
                </c:pt>
              </c:numCache>
            </c:numRef>
          </c:xVal>
          <c:yVal>
            <c:numRef>
              <c:f>Active!$N$21:$N$920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D9-403E-A848-1D2A59D7A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482224"/>
        <c:axId val="1"/>
      </c:scatterChart>
      <c:valAx>
        <c:axId val="538482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482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25806451612904"/>
          <c:y val="0.92097264437689974"/>
          <c:w val="0.6258064516129032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3229-1054 - Sec. O-C Diagr.</a:t>
            </a:r>
          </a:p>
        </c:rich>
      </c:tx>
      <c:layout>
        <c:manualLayout>
          <c:xMode val="edge"/>
          <c:yMode val="edge"/>
          <c:x val="0.2448981734426053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6530688507143363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5735.5</c:v>
                </c:pt>
                <c:pt idx="2">
                  <c:v>5736.5</c:v>
                </c:pt>
                <c:pt idx="3">
                  <c:v>5770</c:v>
                </c:pt>
                <c:pt idx="4">
                  <c:v>7199</c:v>
                </c:pt>
                <c:pt idx="5">
                  <c:v>8720.5</c:v>
                </c:pt>
                <c:pt idx="6">
                  <c:v>10197.5</c:v>
                </c:pt>
                <c:pt idx="7">
                  <c:v>10671.5</c:v>
                </c:pt>
              </c:numCache>
            </c:numRef>
          </c:xVal>
          <c:yVal>
            <c:numRef>
              <c:f>Active!$S$21:$S$920</c:f>
              <c:numCache>
                <c:formatCode>General</c:formatCode>
                <c:ptCount val="900"/>
                <c:pt idx="1">
                  <c:v>-0.12329999999928987</c:v>
                </c:pt>
                <c:pt idx="2">
                  <c:v>-0.12389999999868451</c:v>
                </c:pt>
                <c:pt idx="5">
                  <c:v>-0.18009999999776483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61-414A-8B82-C16A5F49D3D6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5735.5</c:v>
                </c:pt>
                <c:pt idx="2">
                  <c:v>5736.5</c:v>
                </c:pt>
                <c:pt idx="3">
                  <c:v>5770</c:v>
                </c:pt>
                <c:pt idx="4">
                  <c:v>7199</c:v>
                </c:pt>
                <c:pt idx="5">
                  <c:v>8720.5</c:v>
                </c:pt>
                <c:pt idx="6">
                  <c:v>10197.5</c:v>
                </c:pt>
                <c:pt idx="7">
                  <c:v>10671.5</c:v>
                </c:pt>
              </c:numCache>
            </c:numRef>
          </c:xVal>
          <c:yVal>
            <c:numRef>
              <c:f>Active!$P$21:$P$920</c:f>
              <c:numCache>
                <c:formatCode>General</c:formatCode>
                <c:ptCount val="900"/>
                <c:pt idx="0">
                  <c:v>-1.501062729322214E-2</c:v>
                </c:pt>
                <c:pt idx="1">
                  <c:v>-0.12359048572851918</c:v>
                </c:pt>
                <c:pt idx="2">
                  <c:v>-0.12360941692169071</c:v>
                </c:pt>
                <c:pt idx="3">
                  <c:v>-0.12424361189293688</c:v>
                </c:pt>
                <c:pt idx="4">
                  <c:v>-0.15129628693504996</c:v>
                </c:pt>
                <c:pt idx="5">
                  <c:v>-0.18010009734552931</c:v>
                </c:pt>
                <c:pt idx="6">
                  <c:v>-0.20806146965987571</c:v>
                </c:pt>
                <c:pt idx="7">
                  <c:v>-0.21703485522317983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61-414A-8B82-C16A5F49D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641384"/>
        <c:axId val="1"/>
      </c:scatterChart>
      <c:valAx>
        <c:axId val="454641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902244362311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641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775553055868017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14</xdr:col>
      <xdr:colOff>0</xdr:colOff>
      <xdr:row>18</xdr:row>
      <xdr:rowOff>38100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9D1D684B-9CE6-39DD-7B03-C897B5575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381000</xdr:colOff>
      <xdr:row>0</xdr:row>
      <xdr:rowOff>0</xdr:rowOff>
    </xdr:from>
    <xdr:to>
      <xdr:col>30</xdr:col>
      <xdr:colOff>114300</xdr:colOff>
      <xdr:row>18</xdr:row>
      <xdr:rowOff>47625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236D5781-0CCC-B210-34C9-9F9CCB63C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0</xdr:row>
      <xdr:rowOff>0</xdr:rowOff>
    </xdr:from>
    <xdr:to>
      <xdr:col>21</xdr:col>
      <xdr:colOff>238125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74AD2F39-065D-28FA-90BB-979F237E1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7.140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49</v>
      </c>
    </row>
    <row r="2" spans="1:6" x14ac:dyDescent="0.2">
      <c r="A2" t="s">
        <v>20</v>
      </c>
      <c r="B2" s="10" t="s">
        <v>30</v>
      </c>
      <c r="E2" s="22" t="s">
        <v>44</v>
      </c>
    </row>
    <row r="3" spans="1:6" ht="13.5" thickBot="1" x14ac:dyDescent="0.25">
      <c r="C3" s="37" t="s">
        <v>48</v>
      </c>
    </row>
    <row r="4" spans="1:6" ht="14.25" thickTop="1" thickBot="1" x14ac:dyDescent="0.25">
      <c r="A4" s="6" t="s">
        <v>4</v>
      </c>
      <c r="C4" s="3">
        <v>51535.707999999999</v>
      </c>
      <c r="D4" s="4">
        <v>0.74260000000000004</v>
      </c>
    </row>
    <row r="5" spans="1:6" ht="13.5" thickTop="1" x14ac:dyDescent="0.2">
      <c r="A5" s="28" t="s">
        <v>35</v>
      </c>
      <c r="B5" s="22"/>
      <c r="C5" s="29">
        <v>-9.5</v>
      </c>
      <c r="D5" s="22" t="s">
        <v>36</v>
      </c>
    </row>
    <row r="6" spans="1:6" x14ac:dyDescent="0.2">
      <c r="A6" s="6" t="s">
        <v>5</v>
      </c>
    </row>
    <row r="7" spans="1:6" x14ac:dyDescent="0.2">
      <c r="A7" t="s">
        <v>6</v>
      </c>
      <c r="C7" s="12">
        <v>51535.707999999999</v>
      </c>
      <c r="D7" s="36" t="s">
        <v>50</v>
      </c>
    </row>
    <row r="8" spans="1:6" x14ac:dyDescent="0.2">
      <c r="A8" t="s">
        <v>7</v>
      </c>
      <c r="C8">
        <v>0.74260000000000004</v>
      </c>
      <c r="D8" s="36" t="s">
        <v>50</v>
      </c>
    </row>
    <row r="9" spans="1:6" x14ac:dyDescent="0.2">
      <c r="A9" s="20" t="s">
        <v>32</v>
      </c>
      <c r="B9" s="20"/>
      <c r="C9" s="21">
        <v>21</v>
      </c>
      <c r="D9" s="21">
        <v>21</v>
      </c>
    </row>
    <row r="10" spans="1:6" ht="13.5" thickBot="1" x14ac:dyDescent="0.25">
      <c r="A10" s="22"/>
      <c r="B10" s="22"/>
      <c r="C10" s="5" t="s">
        <v>22</v>
      </c>
      <c r="D10" s="5" t="s">
        <v>23</v>
      </c>
    </row>
    <row r="11" spans="1:6" x14ac:dyDescent="0.2">
      <c r="A11" s="22" t="s">
        <v>17</v>
      </c>
      <c r="B11" s="22"/>
      <c r="C11" s="23">
        <f ca="1">INTERCEPT(INDIRECT(C14):R$934,INDIRECT(C13):$F$934)</f>
        <v>-9.6516885994358523E-2</v>
      </c>
      <c r="D11" s="23">
        <f ca="1">INTERCEPT(INDIRECT(D14):S$934,INDIRECT(D13):$F$934)</f>
        <v>-1.501062729322214E-2</v>
      </c>
      <c r="E11" s="20" t="s">
        <v>38</v>
      </c>
      <c r="F11">
        <v>1</v>
      </c>
    </row>
    <row r="12" spans="1:6" x14ac:dyDescent="0.2">
      <c r="A12" s="22" t="s">
        <v>18</v>
      </c>
      <c r="B12" s="22"/>
      <c r="C12" s="23">
        <f ca="1">SLOPE(INDIRECT(C14):R$934,INDIRECT(C13):$F$934)</f>
        <v>1.3901366214625854E-5</v>
      </c>
      <c r="D12" s="23">
        <f ca="1">SLOPE(INDIRECT(D14):S$934,INDIRECT(D13):$F$934)</f>
        <v>-1.8931193171527685E-5</v>
      </c>
      <c r="E12" s="20" t="s">
        <v>39</v>
      </c>
      <c r="F12" s="30">
        <f ca="1">NOW()+15018.5+$C$5/24</f>
        <v>60095.834458564816</v>
      </c>
    </row>
    <row r="13" spans="1:6" x14ac:dyDescent="0.2">
      <c r="A13" s="20" t="s">
        <v>33</v>
      </c>
      <c r="B13" s="20"/>
      <c r="C13" s="21" t="str">
        <f>"F"&amp;C9</f>
        <v>F21</v>
      </c>
      <c r="D13" s="21" t="str">
        <f>"F"&amp;D9</f>
        <v>F21</v>
      </c>
      <c r="E13" s="20" t="s">
        <v>40</v>
      </c>
      <c r="F13" s="30">
        <f ca="1">ROUND(2*(F12-$C$7)/$C$8,0)/2+F11</f>
        <v>11528</v>
      </c>
    </row>
    <row r="14" spans="1:6" x14ac:dyDescent="0.2">
      <c r="A14" s="20" t="s">
        <v>34</v>
      </c>
      <c r="B14" s="20"/>
      <c r="C14" s="21" t="str">
        <f>"R"&amp;C9</f>
        <v>R21</v>
      </c>
      <c r="D14" s="21" t="str">
        <f>"S"&amp;D9</f>
        <v>S21</v>
      </c>
      <c r="E14" s="20" t="s">
        <v>41</v>
      </c>
      <c r="F14" s="31">
        <f ca="1">ROUND(2*(F12-$C$15)/$C$16,0)/2+F11</f>
        <v>857</v>
      </c>
    </row>
    <row r="15" spans="1:6" x14ac:dyDescent="0.2">
      <c r="A15" s="24" t="s">
        <v>19</v>
      </c>
      <c r="B15" s="22"/>
      <c r="C15" s="25">
        <f ca="1">($C7+C11)+($C8+C12)*INT(MAX($F21:$F3532))</f>
        <v>59460.044424592881</v>
      </c>
      <c r="D15" s="25">
        <f ca="1">($C7+D11)+($C8+D12)*INT(MAX($F21:$F3532))</f>
        <v>59459.775574610372</v>
      </c>
      <c r="E15" s="20" t="s">
        <v>42</v>
      </c>
      <c r="F15" s="32">
        <f ca="1">+$C$15+$C$16*F14-15018.5-$C$5/24</f>
        <v>45078.360371397066</v>
      </c>
    </row>
    <row r="16" spans="1:6" x14ac:dyDescent="0.2">
      <c r="A16" s="26" t="s">
        <v>8</v>
      </c>
      <c r="B16" s="22"/>
      <c r="C16" s="27">
        <f ca="1">+$C8+C12</f>
        <v>0.74261390136621463</v>
      </c>
      <c r="D16" s="23">
        <f ca="1">+$C8+D12</f>
        <v>0.7425810688068285</v>
      </c>
      <c r="E16" s="33"/>
      <c r="F16" s="33" t="s">
        <v>37</v>
      </c>
    </row>
    <row r="17" spans="1:19" ht="13.5" thickBot="1" x14ac:dyDescent="0.25">
      <c r="A17" s="19" t="s">
        <v>31</v>
      </c>
      <c r="C17">
        <f>COUNT(C21:C1246)</f>
        <v>8</v>
      </c>
    </row>
    <row r="18" spans="1:19" ht="14.25" thickTop="1" thickBot="1" x14ac:dyDescent="0.25">
      <c r="A18" s="6" t="s">
        <v>25</v>
      </c>
      <c r="C18" s="3">
        <f ca="1">+C15</f>
        <v>59460.044424592881</v>
      </c>
      <c r="D18" s="4">
        <f ca="1">+C16</f>
        <v>0.74261390136621463</v>
      </c>
      <c r="E18" s="34">
        <f>R19</f>
        <v>5</v>
      </c>
    </row>
    <row r="19" spans="1:19" ht="14.25" thickTop="1" thickBot="1" x14ac:dyDescent="0.25">
      <c r="A19" s="6" t="s">
        <v>26</v>
      </c>
      <c r="C19" s="3">
        <f ca="1">+D15</f>
        <v>59459.775574610372</v>
      </c>
      <c r="D19" s="4">
        <f ca="1">+D16</f>
        <v>0.7425810688068285</v>
      </c>
      <c r="E19" s="34">
        <f>S19</f>
        <v>3</v>
      </c>
      <c r="R19">
        <f>COUNT(R21:R321)</f>
        <v>5</v>
      </c>
      <c r="S19">
        <f>COUNT(S21:S321)</f>
        <v>3</v>
      </c>
    </row>
    <row r="20" spans="1:19" ht="14.25" thickTop="1" thickBot="1" x14ac:dyDescent="0.25">
      <c r="A20" s="5" t="s">
        <v>9</v>
      </c>
      <c r="B20" s="5" t="s">
        <v>10</v>
      </c>
      <c r="C20" s="5" t="s">
        <v>11</v>
      </c>
      <c r="D20" s="5" t="s">
        <v>15</v>
      </c>
      <c r="E20" s="5" t="s">
        <v>12</v>
      </c>
      <c r="F20" s="5" t="s">
        <v>13</v>
      </c>
      <c r="G20" s="5" t="s">
        <v>14</v>
      </c>
      <c r="H20" s="8" t="s">
        <v>3</v>
      </c>
      <c r="I20" s="8" t="s">
        <v>52</v>
      </c>
      <c r="J20" s="8" t="s">
        <v>1</v>
      </c>
      <c r="K20" s="8" t="s">
        <v>2</v>
      </c>
      <c r="L20" s="8" t="s">
        <v>29</v>
      </c>
      <c r="M20" s="8" t="s">
        <v>21</v>
      </c>
      <c r="N20" s="8" t="s">
        <v>24</v>
      </c>
      <c r="O20" s="8" t="s">
        <v>27</v>
      </c>
      <c r="P20" s="7" t="s">
        <v>28</v>
      </c>
      <c r="Q20" s="5" t="s">
        <v>16</v>
      </c>
      <c r="R20" s="9" t="s">
        <v>22</v>
      </c>
      <c r="S20" s="9" t="s">
        <v>23</v>
      </c>
    </row>
    <row r="21" spans="1:19" x14ac:dyDescent="0.2">
      <c r="A21" s="39" t="s">
        <v>50</v>
      </c>
      <c r="B21" s="14"/>
      <c r="C21" s="12">
        <v>51535.707999999999</v>
      </c>
      <c r="D21" s="15"/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P25" ca="1" si="3">+C$11+C$12*$F21</f>
        <v>-9.6516885994358523E-2</v>
      </c>
      <c r="P21">
        <f t="shared" ca="1" si="3"/>
        <v>-1.501062729322214E-2</v>
      </c>
      <c r="Q21" s="2">
        <f t="shared" ref="Q21:Q26" si="4">+C21-15018.5</f>
        <v>36517.207999999999</v>
      </c>
      <c r="R21">
        <f>G21</f>
        <v>0</v>
      </c>
    </row>
    <row r="22" spans="1:19" x14ac:dyDescent="0.2">
      <c r="A22" s="35" t="s">
        <v>43</v>
      </c>
      <c r="B22" s="11"/>
      <c r="C22" s="12">
        <v>55794.767</v>
      </c>
      <c r="D22" s="12"/>
      <c r="E22">
        <f t="shared" si="0"/>
        <v>5735.3339617559941</v>
      </c>
      <c r="F22">
        <f t="shared" si="1"/>
        <v>5735.5</v>
      </c>
      <c r="G22">
        <f t="shared" si="2"/>
        <v>-0.12329999999928987</v>
      </c>
      <c r="I22">
        <f>+G22</f>
        <v>-0.12329999999928987</v>
      </c>
      <c r="O22">
        <f t="shared" ca="1" si="3"/>
        <v>-1.6785600070371942E-2</v>
      </c>
      <c r="P22">
        <f t="shared" ca="1" si="3"/>
        <v>-0.12359048572851918</v>
      </c>
      <c r="Q22" s="2">
        <f t="shared" si="4"/>
        <v>40776.267</v>
      </c>
      <c r="S22">
        <f>G22</f>
        <v>-0.12329999999928987</v>
      </c>
    </row>
    <row r="23" spans="1:19" x14ac:dyDescent="0.2">
      <c r="A23" s="18" t="s">
        <v>45</v>
      </c>
      <c r="B23" s="40" t="s">
        <v>46</v>
      </c>
      <c r="C23" s="18">
        <v>55795.508999999998</v>
      </c>
      <c r="D23" s="18">
        <v>0.01</v>
      </c>
      <c r="E23">
        <f t="shared" si="0"/>
        <v>5736.3331537840013</v>
      </c>
      <c r="F23">
        <f t="shared" si="1"/>
        <v>5736.5</v>
      </c>
      <c r="G23">
        <f t="shared" si="2"/>
        <v>-0.12389999999868451</v>
      </c>
      <c r="J23">
        <f>+G23</f>
        <v>-0.12389999999868451</v>
      </c>
      <c r="O23">
        <f t="shared" ca="1" si="3"/>
        <v>-1.6771698704157317E-2</v>
      </c>
      <c r="P23">
        <f t="shared" ca="1" si="3"/>
        <v>-0.12360941692169071</v>
      </c>
      <c r="Q23" s="2">
        <f t="shared" si="4"/>
        <v>40777.008999999998</v>
      </c>
      <c r="S23">
        <f>G23</f>
        <v>-0.12389999999868451</v>
      </c>
    </row>
    <row r="24" spans="1:19" x14ac:dyDescent="0.2">
      <c r="A24" s="18" t="s">
        <v>45</v>
      </c>
      <c r="B24" s="40" t="s">
        <v>47</v>
      </c>
      <c r="C24" s="18">
        <v>55820.389000000003</v>
      </c>
      <c r="D24" s="18">
        <v>0.01</v>
      </c>
      <c r="E24">
        <f t="shared" si="0"/>
        <v>5769.8370589819606</v>
      </c>
      <c r="F24">
        <f t="shared" si="1"/>
        <v>5770</v>
      </c>
      <c r="G24">
        <f t="shared" si="2"/>
        <v>-0.12099999999918509</v>
      </c>
      <c r="J24">
        <f>+G24</f>
        <v>-0.12099999999918509</v>
      </c>
      <c r="O24">
        <f t="shared" ca="1" si="3"/>
        <v>-1.6306002935967345E-2</v>
      </c>
      <c r="P24">
        <f t="shared" ca="1" si="3"/>
        <v>-0.12424361189293688</v>
      </c>
      <c r="Q24" s="2">
        <f t="shared" si="4"/>
        <v>40801.889000000003</v>
      </c>
      <c r="R24">
        <f>G24</f>
        <v>-0.12099999999918509</v>
      </c>
    </row>
    <row r="25" spans="1:19" x14ac:dyDescent="0.2">
      <c r="A25" s="41" t="s">
        <v>51</v>
      </c>
      <c r="B25" s="42" t="s">
        <v>47</v>
      </c>
      <c r="C25" s="43">
        <v>56881.527410000002</v>
      </c>
      <c r="D25" s="43">
        <v>1E-4</v>
      </c>
      <c r="E25">
        <f t="shared" si="0"/>
        <v>7198.7872475087579</v>
      </c>
      <c r="F25">
        <f t="shared" si="1"/>
        <v>7199</v>
      </c>
      <c r="G25">
        <f t="shared" si="2"/>
        <v>-0.15798999999969965</v>
      </c>
      <c r="K25">
        <f>+G25</f>
        <v>-0.15798999999969965</v>
      </c>
      <c r="O25">
        <f t="shared" ca="1" si="3"/>
        <v>3.559049384733004E-3</v>
      </c>
      <c r="P25">
        <f t="shared" ca="1" si="3"/>
        <v>-0.15129628693504996</v>
      </c>
      <c r="Q25" s="2">
        <f t="shared" si="4"/>
        <v>41863.027410000002</v>
      </c>
      <c r="R25">
        <f>G25</f>
        <v>-0.15798999999969965</v>
      </c>
    </row>
    <row r="26" spans="1:19" x14ac:dyDescent="0.2">
      <c r="A26" s="38" t="s">
        <v>0</v>
      </c>
      <c r="B26" s="44" t="s">
        <v>47</v>
      </c>
      <c r="C26" s="45">
        <v>58011.371200000001</v>
      </c>
      <c r="D26" s="45">
        <v>5.7999999999999996E-3</v>
      </c>
      <c r="E26">
        <f t="shared" si="0"/>
        <v>8720.2574737409141</v>
      </c>
      <c r="F26">
        <f t="shared" si="1"/>
        <v>8720.5</v>
      </c>
      <c r="G26">
        <f t="shared" si="2"/>
        <v>-0.18009999999776483</v>
      </c>
      <c r="J26">
        <f>+G26</f>
        <v>-0.18009999999776483</v>
      </c>
      <c r="O26">
        <f t="shared" ref="O26:P28" ca="1" si="5">+C$11+C$12*$F26</f>
        <v>2.4709978080286243E-2</v>
      </c>
      <c r="P26">
        <f t="shared" ca="1" si="5"/>
        <v>-0.18010009734552931</v>
      </c>
      <c r="Q26" s="2">
        <f t="shared" si="4"/>
        <v>42992.871200000001</v>
      </c>
      <c r="S26">
        <f>G26</f>
        <v>-0.18009999999776483</v>
      </c>
    </row>
    <row r="27" spans="1:19" x14ac:dyDescent="0.2">
      <c r="A27" s="46" t="s">
        <v>53</v>
      </c>
      <c r="B27" s="47" t="s">
        <v>47</v>
      </c>
      <c r="C27" s="46">
        <v>59108.509899999997</v>
      </c>
      <c r="D27" s="46">
        <v>1E-3</v>
      </c>
      <c r="E27">
        <f>+(C27-C$7)/C$8</f>
        <v>10197.686372205761</v>
      </c>
      <c r="F27">
        <f>ROUND(2*E27,0)/2</f>
        <v>10197.5</v>
      </c>
      <c r="G27">
        <f>+C27-(C$7+F27*C$8)</f>
        <v>0.13839999999618158</v>
      </c>
      <c r="J27">
        <f>+G27</f>
        <v>0.13839999999618158</v>
      </c>
      <c r="O27">
        <f t="shared" ca="1" si="5"/>
        <v>4.5242295979288624E-2</v>
      </c>
      <c r="P27">
        <f t="shared" ca="1" si="5"/>
        <v>-0.20806146965987571</v>
      </c>
      <c r="Q27" s="2">
        <f>+C27-15018.5</f>
        <v>44090.009899999997</v>
      </c>
      <c r="R27">
        <f>G27</f>
        <v>0.13839999999618158</v>
      </c>
    </row>
    <row r="28" spans="1:19" x14ac:dyDescent="0.2">
      <c r="A28" s="46" t="s">
        <v>53</v>
      </c>
      <c r="B28" s="47" t="s">
        <v>47</v>
      </c>
      <c r="C28" s="46">
        <v>59460.492299999998</v>
      </c>
      <c r="D28" s="46">
        <v>5.0000000000000001E-4</v>
      </c>
      <c r="E28">
        <f>+(C28-C$7)/C$8</f>
        <v>10671.672906005924</v>
      </c>
      <c r="F28">
        <f>ROUND(2*E28,0)/2</f>
        <v>10671.5</v>
      </c>
      <c r="G28">
        <f>+C28-(C$7+F28*C$8)</f>
        <v>0.12840000000142027</v>
      </c>
      <c r="J28">
        <f>+G28</f>
        <v>0.12840000000142027</v>
      </c>
      <c r="O28">
        <f t="shared" ca="1" si="5"/>
        <v>5.1831543565021274E-2</v>
      </c>
      <c r="P28">
        <f t="shared" ca="1" si="5"/>
        <v>-0.21703485522317983</v>
      </c>
      <c r="Q28" s="2">
        <f>+C28-15018.5</f>
        <v>44441.992299999998</v>
      </c>
      <c r="R28">
        <f>G28</f>
        <v>0.12840000000142027</v>
      </c>
    </row>
    <row r="29" spans="1:19" x14ac:dyDescent="0.2">
      <c r="A29" s="13"/>
      <c r="B29" s="14"/>
      <c r="C29" s="12"/>
      <c r="D29" s="15"/>
      <c r="Q29" s="2"/>
    </row>
    <row r="30" spans="1:19" x14ac:dyDescent="0.2">
      <c r="A30" s="16"/>
      <c r="B30" s="17"/>
      <c r="C30" s="12"/>
      <c r="D30" s="12"/>
      <c r="Q30" s="2"/>
    </row>
    <row r="31" spans="1:19" x14ac:dyDescent="0.2">
      <c r="A31" s="16"/>
      <c r="B31" s="17"/>
      <c r="C31" s="12"/>
      <c r="D31" s="12"/>
      <c r="Q31" s="2"/>
    </row>
    <row r="32" spans="1:19" x14ac:dyDescent="0.2">
      <c r="A32" s="18"/>
      <c r="B32" s="14"/>
      <c r="C32" s="12"/>
      <c r="D32" s="15"/>
      <c r="Q32" s="2"/>
    </row>
    <row r="33" spans="1:17" x14ac:dyDescent="0.2">
      <c r="A33" s="18"/>
      <c r="B33" s="14"/>
      <c r="C33" s="12"/>
      <c r="D33" s="15"/>
      <c r="Q33" s="2"/>
    </row>
    <row r="34" spans="1:17" x14ac:dyDescent="0.2">
      <c r="A34" s="18"/>
      <c r="B34" s="14"/>
      <c r="C34" s="12"/>
      <c r="D34" s="15"/>
      <c r="Q34" s="2"/>
    </row>
  </sheetData>
  <phoneticPr fontId="8" type="noConversion"/>
  <hyperlinks>
    <hyperlink ref="H3479" r:id="rId1" display="http://vsolj.cetus-net.org/bulletin.html"/>
    <hyperlink ref="H64859" r:id="rId2" display="http://vsolj.cetus-net.org/bulletin.html"/>
    <hyperlink ref="H64852" r:id="rId3" display="https://www.aavso.org/ejaavso"/>
    <hyperlink ref="AP1710" r:id="rId4" display="http://cdsbib.u-strasbg.fr/cgi-bin/cdsbib?1990RMxAA..21..381G"/>
    <hyperlink ref="AP1707" r:id="rId5" display="http://cdsbib.u-strasbg.fr/cgi-bin/cdsbib?1990RMxAA..21..381G"/>
    <hyperlink ref="AP1709" r:id="rId6" display="http://cdsbib.u-strasbg.fr/cgi-bin/cdsbib?1990RMxAA..21..381G"/>
    <hyperlink ref="AP1685" r:id="rId7" display="http://cdsbib.u-strasbg.fr/cgi-bin/cdsbib?1990RMxAA..21..381G"/>
    <hyperlink ref="I64859" r:id="rId8" display="http://vsolj.cetus-net.org/bulletin.html"/>
    <hyperlink ref="AQ1846" r:id="rId9" display="http://cdsbib.u-strasbg.fr/cgi-bin/cdsbib?1990RMxAA..21..381G"/>
    <hyperlink ref="AQ3490" r:id="rId10" display="http://cdsbib.u-strasbg.fr/cgi-bin/cdsbib?1990RMxAA..21..381G"/>
    <hyperlink ref="AQ1847" r:id="rId11" display="http://cdsbib.u-strasbg.fr/cgi-bin/cdsbib?1990RMxAA..21..381G"/>
    <hyperlink ref="H64856" r:id="rId12" display="https://www.aavso.org/ejaavso"/>
    <hyperlink ref="H2697" r:id="rId13" display="http://vsolj.cetus-net.org/bulletin.html"/>
    <hyperlink ref="AP5935" r:id="rId14" display="http://cdsbib.u-strasbg.fr/cgi-bin/cdsbib?1990RMxAA..21..381G"/>
    <hyperlink ref="AP5938" r:id="rId15" display="http://cdsbib.u-strasbg.fr/cgi-bin/cdsbib?1990RMxAA..21..381G"/>
    <hyperlink ref="AP5936" r:id="rId16" display="http://cdsbib.u-strasbg.fr/cgi-bin/cdsbib?1990RMxAA..21..381G"/>
    <hyperlink ref="AP5914" r:id="rId17" display="http://cdsbib.u-strasbg.fr/cgi-bin/cdsbib?1990RMxAA..21..381G"/>
    <hyperlink ref="I2697" r:id="rId18" display="http://vsolj.cetus-net.org/bulletin.html"/>
    <hyperlink ref="AQ6048" r:id="rId19" display="http://cdsbib.u-strasbg.fr/cgi-bin/cdsbib?1990RMxAA..21..381G"/>
    <hyperlink ref="AQ600" r:id="rId20" display="http://cdsbib.u-strasbg.fr/cgi-bin/cdsbib?1990RMxAA..21..381G"/>
    <hyperlink ref="AQ6049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2023-05-31T08:01:37Z</dcterms:modified>
</cp:coreProperties>
</file>