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905BFD6-7078-45A1-A7D8-7EAADDAFB60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</sheets>
  <calcPr calcId="181029"/>
</workbook>
</file>

<file path=xl/calcChain.xml><?xml version="1.0" encoding="utf-8"?>
<calcChain xmlns="http://schemas.openxmlformats.org/spreadsheetml/2006/main">
  <c r="D9" i="1" l="1"/>
  <c r="C9" i="1"/>
  <c r="D9" i="2"/>
  <c r="C9" i="2"/>
  <c r="F22" i="2"/>
  <c r="G22" i="2"/>
  <c r="F23" i="2"/>
  <c r="G23" i="2"/>
  <c r="F25" i="2"/>
  <c r="E22" i="2"/>
  <c r="E23" i="2"/>
  <c r="E24" i="2"/>
  <c r="F24" i="2"/>
  <c r="G24" i="2"/>
  <c r="E25" i="2"/>
  <c r="G25" i="2"/>
  <c r="K25" i="2"/>
  <c r="F16" i="2"/>
  <c r="F17" i="2" s="1"/>
  <c r="A21" i="2"/>
  <c r="C21" i="2"/>
  <c r="E21" i="2"/>
  <c r="F21" i="2"/>
  <c r="Q21" i="2"/>
  <c r="Q22" i="2"/>
  <c r="Q23" i="2"/>
  <c r="Q24" i="2"/>
  <c r="Q25" i="2"/>
  <c r="F23" i="1"/>
  <c r="G23" i="1"/>
  <c r="F24" i="1"/>
  <c r="G24" i="1"/>
  <c r="F25" i="1"/>
  <c r="G25" i="1"/>
  <c r="F22" i="1"/>
  <c r="G22" i="1"/>
  <c r="E24" i="1"/>
  <c r="E25" i="1"/>
  <c r="Q24" i="1"/>
  <c r="Q25" i="1"/>
  <c r="E22" i="1"/>
  <c r="E23" i="1"/>
  <c r="Q22" i="1"/>
  <c r="Q23" i="1"/>
  <c r="A21" i="1"/>
  <c r="C21" i="1"/>
  <c r="E21" i="1"/>
  <c r="F21" i="1"/>
  <c r="F16" i="1"/>
  <c r="F17" i="1" s="1"/>
  <c r="K24" i="1"/>
  <c r="K23" i="2"/>
  <c r="K22" i="1"/>
  <c r="K22" i="2"/>
  <c r="K25" i="1"/>
  <c r="K23" i="1"/>
  <c r="K24" i="2"/>
  <c r="G21" i="2"/>
  <c r="C17" i="2"/>
  <c r="Q21" i="1"/>
  <c r="C17" i="1"/>
  <c r="G21" i="1"/>
  <c r="I21" i="2"/>
  <c r="I21" i="1"/>
  <c r="C12" i="2"/>
  <c r="C12" i="1"/>
  <c r="C11" i="2"/>
  <c r="C11" i="1"/>
  <c r="O22" i="1" l="1"/>
  <c r="R22" i="1" s="1"/>
  <c r="O21" i="1"/>
  <c r="R21" i="1" s="1"/>
  <c r="O23" i="1"/>
  <c r="R23" i="1" s="1"/>
  <c r="O24" i="1"/>
  <c r="R24" i="1" s="1"/>
  <c r="C15" i="1"/>
  <c r="O25" i="1"/>
  <c r="R25" i="1" s="1"/>
  <c r="O23" i="2"/>
  <c r="R23" i="2" s="1"/>
  <c r="C15" i="2"/>
  <c r="F18" i="2" s="1"/>
  <c r="O25" i="2"/>
  <c r="R25" i="2" s="1"/>
  <c r="O24" i="2"/>
  <c r="R24" i="2" s="1"/>
  <c r="O21" i="2"/>
  <c r="R21" i="2" s="1"/>
  <c r="O22" i="2"/>
  <c r="R22" i="2" s="1"/>
  <c r="C16" i="1"/>
  <c r="D18" i="1" s="1"/>
  <c r="C16" i="2"/>
  <c r="D18" i="2" s="1"/>
  <c r="F18" i="1" l="1"/>
  <c r="F19" i="1" s="1"/>
  <c r="C18" i="1"/>
  <c r="R18" i="2"/>
  <c r="C18" i="2"/>
  <c r="F19" i="2"/>
  <c r="R18" i="1"/>
</calcChain>
</file>

<file path=xl/sharedStrings.xml><?xml version="1.0" encoding="utf-8"?>
<sst xmlns="http://schemas.openxmlformats.org/spreadsheetml/2006/main" count="116" uniqueCount="52">
  <si>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</si>
  <si>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</si>
  <si>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</si>
  <si>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</si>
  <si>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</si>
  <si>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</si>
  <si>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</si>
  <si>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</si>
  <si>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</si>
  <si>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</si>
  <si>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</si>
  <si>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</si>
  <si>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</si>
  <si>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</si>
  <si>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</si>
  <si>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</si>
  <si>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</si>
  <si>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</si>
  <si>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</si>
  <si>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</si>
  <si>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</si>
  <si>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</si>
  <si>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</si>
  <si>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</si>
  <si>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</si>
  <si>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</si>
  <si>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</si>
  <si>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</si>
  <si>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</si>
  <si>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</si>
  <si>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</si>
  <si>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</si>
  <si>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</si>
  <si>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</si>
  <si>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</si>
  <si>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</si>
  <si>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</si>
  <si>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</si>
  <si>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V0645 And</t>
  </si>
  <si>
    <t>V0645 And / GSC 3644-1562</t>
  </si>
  <si>
    <t>EW</t>
  </si>
  <si>
    <t>VSX</t>
  </si>
  <si>
    <t>IBVS 5960</t>
  </si>
  <si>
    <t>I</t>
  </si>
  <si>
    <t>IBVS 6011</t>
  </si>
  <si>
    <t>II</t>
  </si>
  <si>
    <t>G3644-1562</t>
  </si>
  <si>
    <t>pg</t>
  </si>
  <si>
    <t>vis</t>
  </si>
  <si>
    <t>PE</t>
  </si>
  <si>
    <t>CCD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</si>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</sst>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41" applyFont="1"/>
    <xf numFmtId="0" fontId="16" fillId="0" borderId="0" xfId="41" applyFont="1" applyAlignment="1">
      <alignment horizontal="center"/>
    </xf>
    <xf numFmtId="0" fontId="16" fillId="0" borderId="0" xfId="41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V0645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10068.5</c:v>
                </c:pt>
                <c:pt idx="2">
                  <c:v>11023.5</c:v>
                </c:pt>
                <c:pt idx="3">
                  <c:v>14571.5</c:v>
                </c:pt>
                <c:pt idx="4">
                  <c:v>14572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D2-42D4-A269-58A3FCC5E90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10068.5</c:v>
                </c:pt>
                <c:pt idx="2">
                  <c:v>11023.5</c:v>
                </c:pt>
                <c:pt idx="3">
                  <c:v>14571.5</c:v>
                </c:pt>
                <c:pt idx="4">
                  <c:v>14572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D2-42D4-A269-58A3FCC5E90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10068.5</c:v>
                </c:pt>
                <c:pt idx="2">
                  <c:v>11023.5</c:v>
                </c:pt>
                <c:pt idx="3">
                  <c:v>14571.5</c:v>
                </c:pt>
                <c:pt idx="4">
                  <c:v>14572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D2-42D4-A269-58A3FCC5E90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10068.5</c:v>
                </c:pt>
                <c:pt idx="2">
                  <c:v>11023.5</c:v>
                </c:pt>
                <c:pt idx="3">
                  <c:v>14571.5</c:v>
                </c:pt>
                <c:pt idx="4">
                  <c:v>14572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-5.5244999966816977E-3</c:v>
                </c:pt>
                <c:pt idx="2">
                  <c:v>-4.7594999996363185E-3</c:v>
                </c:pt>
                <c:pt idx="3">
                  <c:v>-4.9654999966151081E-3</c:v>
                </c:pt>
                <c:pt idx="4">
                  <c:v>-2.2739999985788018E-3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D2-42D4-A269-58A3FCC5E90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10068.5</c:v>
                </c:pt>
                <c:pt idx="2">
                  <c:v>11023.5</c:v>
                </c:pt>
                <c:pt idx="3">
                  <c:v>14571.5</c:v>
                </c:pt>
                <c:pt idx="4">
                  <c:v>14572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D2-42D4-A269-58A3FCC5E90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10068.5</c:v>
                </c:pt>
                <c:pt idx="2">
                  <c:v>11023.5</c:v>
                </c:pt>
                <c:pt idx="3">
                  <c:v>14571.5</c:v>
                </c:pt>
                <c:pt idx="4">
                  <c:v>14572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D2-42D4-A269-58A3FCC5E90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10068.5</c:v>
                </c:pt>
                <c:pt idx="2">
                  <c:v>11023.5</c:v>
                </c:pt>
                <c:pt idx="3">
                  <c:v>14571.5</c:v>
                </c:pt>
                <c:pt idx="4">
                  <c:v>14572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D2-42D4-A269-58A3FCC5E90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10068.5</c:v>
                </c:pt>
                <c:pt idx="2">
                  <c:v>11023.5</c:v>
                </c:pt>
                <c:pt idx="3">
                  <c:v>14571.5</c:v>
                </c:pt>
                <c:pt idx="4">
                  <c:v>14572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-9.275606433404554E-3</c:v>
                </c:pt>
                <c:pt idx="1">
                  <c:v>-5.3514807885040906E-3</c:v>
                </c:pt>
                <c:pt idx="2">
                  <c:v>-4.9792763895489395E-3</c:v>
                </c:pt>
                <c:pt idx="3">
                  <c:v>-3.5964688424359788E-3</c:v>
                </c:pt>
                <c:pt idx="4">
                  <c:v>-3.5962739710229136E-3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D2-42D4-A269-58A3FCC5E90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10068.5</c:v>
                </c:pt>
                <c:pt idx="2">
                  <c:v>11023.5</c:v>
                </c:pt>
                <c:pt idx="3">
                  <c:v>14571.5</c:v>
                </c:pt>
                <c:pt idx="4">
                  <c:v>14572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FD2-42D4-A269-58A3FCC5E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577992"/>
        <c:axId val="1"/>
      </c:scatterChart>
      <c:valAx>
        <c:axId val="618577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577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V0645 And - O-C Diagr.</a:t>
            </a:r>
          </a:p>
        </c:rich>
      </c:tx>
      <c:layout>
        <c:manualLayout>
          <c:xMode val="edge"/>
          <c:yMode val="edge"/>
          <c:x val="0.3648858167538218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7108910654903"/>
          <c:y val="0.14035127795846455"/>
          <c:w val="0.8229013768050578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 (old)'!$D$21:$D$239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9736</c:v>
                </c:pt>
                <c:pt idx="2">
                  <c:v>10659.5</c:v>
                </c:pt>
                <c:pt idx="3">
                  <c:v>14091</c:v>
                </c:pt>
                <c:pt idx="4">
                  <c:v>14091.5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4D-45E4-8002-B53FF2FD788D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9736</c:v>
                </c:pt>
                <c:pt idx="2">
                  <c:v>10659.5</c:v>
                </c:pt>
                <c:pt idx="3">
                  <c:v>14091</c:v>
                </c:pt>
                <c:pt idx="4">
                  <c:v>14091.5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4D-45E4-8002-B53FF2FD788D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9736</c:v>
                </c:pt>
                <c:pt idx="2">
                  <c:v>10659.5</c:v>
                </c:pt>
                <c:pt idx="3">
                  <c:v>14091</c:v>
                </c:pt>
                <c:pt idx="4">
                  <c:v>14091.5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4D-45E4-8002-B53FF2FD788D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9736</c:v>
                </c:pt>
                <c:pt idx="2">
                  <c:v>10659.5</c:v>
                </c:pt>
                <c:pt idx="3">
                  <c:v>14091</c:v>
                </c:pt>
                <c:pt idx="4">
                  <c:v>14091.5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  <c:pt idx="1">
                  <c:v>0.42971200000465615</c:v>
                </c:pt>
                <c:pt idx="2">
                  <c:v>0.45619900000019697</c:v>
                </c:pt>
                <c:pt idx="3">
                  <c:v>0.3336120000021765</c:v>
                </c:pt>
                <c:pt idx="4">
                  <c:v>0.32951300000422634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4D-45E4-8002-B53FF2FD788D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9736</c:v>
                </c:pt>
                <c:pt idx="2">
                  <c:v>10659.5</c:v>
                </c:pt>
                <c:pt idx="3">
                  <c:v>14091</c:v>
                </c:pt>
                <c:pt idx="4">
                  <c:v>14091.5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14D-45E4-8002-B53FF2FD788D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9736</c:v>
                </c:pt>
                <c:pt idx="2">
                  <c:v>10659.5</c:v>
                </c:pt>
                <c:pt idx="3">
                  <c:v>14091</c:v>
                </c:pt>
                <c:pt idx="4">
                  <c:v>14091.5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14D-45E4-8002-B53FF2FD788D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9736</c:v>
                </c:pt>
                <c:pt idx="2">
                  <c:v>10659.5</c:v>
                </c:pt>
                <c:pt idx="3">
                  <c:v>14091</c:v>
                </c:pt>
                <c:pt idx="4">
                  <c:v>14091.5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14D-45E4-8002-B53FF2FD788D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9736</c:v>
                </c:pt>
                <c:pt idx="2">
                  <c:v>10659.5</c:v>
                </c:pt>
                <c:pt idx="3">
                  <c:v>14091</c:v>
                </c:pt>
                <c:pt idx="4">
                  <c:v>14091.5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6.6804285698086829E-2</c:v>
                </c:pt>
                <c:pt idx="1">
                  <c:v>0.31031743709021331</c:v>
                </c:pt>
                <c:pt idx="2">
                  <c:v>0.33341566996928368</c:v>
                </c:pt>
                <c:pt idx="3">
                  <c:v>0.41924305072134632</c:v>
                </c:pt>
                <c:pt idx="4">
                  <c:v>0.41925555653232577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14D-45E4-8002-B53FF2FD788D}"/>
            </c:ext>
          </c:extLst>
        </c:ser>
        <c:ser>
          <c:idx val="8"/>
          <c:order val="8"/>
          <c:tx>
            <c:strRef>
              <c:f>'A (old)'!$U$20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9736</c:v>
                </c:pt>
                <c:pt idx="2">
                  <c:v>10659.5</c:v>
                </c:pt>
                <c:pt idx="3">
                  <c:v>14091</c:v>
                </c:pt>
                <c:pt idx="4">
                  <c:v>14091.5</c:v>
                </c:pt>
              </c:numCache>
            </c:numRef>
          </c:xVal>
          <c:yVal>
            <c:numRef>
              <c:f>'A (old)'!$U$21:$U$999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14D-45E4-8002-B53FF2FD7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579432"/>
        <c:axId val="1"/>
      </c:scatterChart>
      <c:valAx>
        <c:axId val="618579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110075935164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38167938931297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579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8031295706355"/>
          <c:y val="0.92397937099967764"/>
          <c:w val="0.7251913205505801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38D341FD-F47E-EA17-8CD0-AC3AEB0E8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0</xdr:rowOff>
    </xdr:from>
    <xdr:to>
      <xdr:col>16</xdr:col>
      <xdr:colOff>628650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E420913-D0A3-249B-F795-E45C3ED42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940"/>
  <sheetViews>
    <sheetView tabSelected="1" workbookViewId="0">
      <selection activeCell="E8" sqref="E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2.42578125" bestFit="1" customWidth="1"/>
  </cols>
  <sheetData>
    <row r="1" spans="1:6" ht="20.25" x14ac:dyDescent="0.3">
      <c r="A1" s="1" t="s">
        <v>39</v>
      </c>
    </row>
    <row r="2" spans="1:6" x14ac:dyDescent="0.2">
      <c r="A2" t="s">
        <v>23</v>
      </c>
      <c r="B2" t="s">
        <v>40</v>
      </c>
      <c r="C2" s="3"/>
      <c r="D2" s="3"/>
      <c r="E2" s="30" t="s">
        <v>38</v>
      </c>
      <c r="F2" t="s">
        <v>46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51483.589</v>
      </c>
      <c r="D7" s="29" t="s">
        <v>41</v>
      </c>
    </row>
    <row r="8" spans="1:6" x14ac:dyDescent="0.2">
      <c r="A8" t="s">
        <v>3</v>
      </c>
      <c r="C8" s="8">
        <v>0.39897700000000003</v>
      </c>
      <c r="D8" s="29" t="s">
        <v>41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-9.275606433404554E-3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3.8974282613104863E-7</v>
      </c>
      <c r="D12" s="3"/>
      <c r="E12" s="10"/>
      <c r="F12">
        <v>1</v>
      </c>
    </row>
    <row r="13" spans="1:6" x14ac:dyDescent="0.2">
      <c r="A13" s="10" t="s">
        <v>18</v>
      </c>
      <c r="B13" s="10"/>
      <c r="C13" s="3" t="s">
        <v>13</v>
      </c>
      <c r="F13">
        <v>2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57297.478247726031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0.39897738974282615</v>
      </c>
      <c r="E16" s="14" t="s">
        <v>30</v>
      </c>
      <c r="F16" s="15">
        <f ca="1">NOW()+15018.5+$C$5/24</f>
        <v>60095.835940740741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35</v>
      </c>
      <c r="F17" s="15">
        <f ca="1">ROUND(2*(F16-$C$7)/$C$8,0)/2+F15</f>
        <v>21587</v>
      </c>
    </row>
    <row r="18" spans="1:21" ht="14.25" thickTop="1" thickBot="1" x14ac:dyDescent="0.25">
      <c r="A18" s="16" t="s">
        <v>5</v>
      </c>
      <c r="B18" s="10"/>
      <c r="C18" s="19">
        <f ca="1">+C15</f>
        <v>57297.478247726031</v>
      </c>
      <c r="D18" s="20">
        <f ca="1">+C16</f>
        <v>0.39897738974282615</v>
      </c>
      <c r="E18" s="14" t="s">
        <v>36</v>
      </c>
      <c r="F18" s="23">
        <f ca="1">ROUND(2*(F16-$C$15)/$C$16,0)/2+F15</f>
        <v>7015</v>
      </c>
      <c r="R18">
        <f ca="1">SQRT(SUM(R21:R25)/4)</f>
        <v>4.7365009969040847E-3</v>
      </c>
    </row>
    <row r="19" spans="1:21" ht="13.5" thickTop="1" x14ac:dyDescent="0.2">
      <c r="E19" s="14" t="s">
        <v>31</v>
      </c>
      <c r="F19" s="18">
        <f ca="1">+$C$15+$C$16*F18-15018.5-$C$5/24</f>
        <v>45078.200470105294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48</v>
      </c>
      <c r="J20" s="7" t="s">
        <v>49</v>
      </c>
      <c r="K20" s="7" t="s">
        <v>50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D7</f>
        <v>VSX</v>
      </c>
      <c r="C21" s="8">
        <f>C$7</f>
        <v>51483.589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-9.275606433404554E-3</v>
      </c>
      <c r="Q21" s="2">
        <f>+C21-15018.5</f>
        <v>36465.089</v>
      </c>
      <c r="R21">
        <f ca="1">(G21-O21)^2</f>
        <v>8.6036874707415956E-5</v>
      </c>
    </row>
    <row r="22" spans="1:21" x14ac:dyDescent="0.2">
      <c r="A22" s="31" t="s">
        <v>42</v>
      </c>
      <c r="B22" s="32" t="s">
        <v>43</v>
      </c>
      <c r="C22" s="31">
        <v>55500.683400000002</v>
      </c>
      <c r="D22" s="31">
        <v>1.1999999999999999E-3</v>
      </c>
      <c r="E22">
        <f>+(C22-C$7)/C$8</f>
        <v>10068.486153337164</v>
      </c>
      <c r="F22">
        <f>ROUND(2*E22,0)/2</f>
        <v>10068.5</v>
      </c>
      <c r="G22">
        <f>+C22-(C$7+F22*C$8)</f>
        <v>-5.5244999966816977E-3</v>
      </c>
      <c r="K22">
        <f>+G22</f>
        <v>-5.5244999966816977E-3</v>
      </c>
      <c r="O22">
        <f ca="1">+C$11+C$12*$F22</f>
        <v>-5.3514807885040906E-3</v>
      </c>
      <c r="Q22" s="2">
        <f>+C22-15018.5</f>
        <v>40482.183400000002</v>
      </c>
      <c r="R22">
        <f ca="1">(G22-O22)^2</f>
        <v>2.9935646398406126E-8</v>
      </c>
    </row>
    <row r="23" spans="1:21" x14ac:dyDescent="0.2">
      <c r="A23" s="31" t="s">
        <v>44</v>
      </c>
      <c r="B23" s="32" t="s">
        <v>45</v>
      </c>
      <c r="C23" s="31">
        <v>55881.707199999997</v>
      </c>
      <c r="D23" s="31">
        <v>5.0000000000000001E-4</v>
      </c>
      <c r="E23">
        <f>+(C23-C$7)/C$8</f>
        <v>11023.488070740912</v>
      </c>
      <c r="F23">
        <f>ROUND(2*E23,0)/2</f>
        <v>11023.5</v>
      </c>
      <c r="G23">
        <f>+C23-(C$7+F23*C$8)</f>
        <v>-4.7594999996363185E-3</v>
      </c>
      <c r="K23">
        <f>+G23</f>
        <v>-4.7594999996363185E-3</v>
      </c>
      <c r="O23">
        <f ca="1">+C$11+C$12*$F23</f>
        <v>-4.9792763895489395E-3</v>
      </c>
      <c r="Q23" s="2">
        <f>+C23-15018.5</f>
        <v>40863.207199999997</v>
      </c>
      <c r="R23">
        <f ca="1">(G23-O23)^2</f>
        <v>4.8301661563024394E-8</v>
      </c>
    </row>
    <row r="24" spans="1:21" x14ac:dyDescent="0.2">
      <c r="A24" s="33" t="s">
        <v>51</v>
      </c>
      <c r="B24" s="34" t="s">
        <v>43</v>
      </c>
      <c r="C24" s="35">
        <v>57297.277390000003</v>
      </c>
      <c r="D24" s="35">
        <v>2.9999999999999997E-4</v>
      </c>
      <c r="E24">
        <f>+(C24-C$7)/C$8</f>
        <v>14571.487554420437</v>
      </c>
      <c r="F24">
        <f>ROUND(2*E24,0)/2</f>
        <v>14571.5</v>
      </c>
      <c r="G24">
        <f>+C24-(C$7+F24*C$8)</f>
        <v>-4.9654999966151081E-3</v>
      </c>
      <c r="K24">
        <f>+G24</f>
        <v>-4.9654999966151081E-3</v>
      </c>
      <c r="O24">
        <f ca="1">+C$11+C$12*$F24</f>
        <v>-3.5964688424359788E-3</v>
      </c>
      <c r="Q24" s="2">
        <f>+C24-15018.5</f>
        <v>42278.777390000003</v>
      </c>
      <c r="R24">
        <f ca="1">(G24-O24)^2</f>
        <v>1.8742463011130388E-6</v>
      </c>
    </row>
    <row r="25" spans="1:21" x14ac:dyDescent="0.2">
      <c r="A25" s="33" t="s">
        <v>51</v>
      </c>
      <c r="B25" s="34" t="s">
        <v>45</v>
      </c>
      <c r="C25" s="35">
        <v>57297.479570000003</v>
      </c>
      <c r="D25" s="35">
        <v>4.0000000000000002E-4</v>
      </c>
      <c r="E25">
        <f>+(C25-C$7)/C$8</f>
        <v>14571.994300423339</v>
      </c>
      <c r="F25">
        <f>ROUND(2*E25,0)/2</f>
        <v>14572</v>
      </c>
      <c r="G25">
        <f>+C25-(C$7+F25*C$8)</f>
        <v>-2.2739999985788018E-3</v>
      </c>
      <c r="K25">
        <f>+G25</f>
        <v>-2.2739999985788018E-3</v>
      </c>
      <c r="O25">
        <f ca="1">+C$11+C$12*$F25</f>
        <v>-3.5962739710229136E-3</v>
      </c>
      <c r="Q25" s="2">
        <f>+C25-15018.5</f>
        <v>42278.979570000003</v>
      </c>
      <c r="R25">
        <f ca="1">(G25-O25)^2</f>
        <v>1.7484084582031319E-6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3477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workbookViewId="0">
      <selection activeCell="B9" sqref="B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</row>
    <row r="2" spans="1:6" x14ac:dyDescent="0.2">
      <c r="A2" t="s">
        <v>23</v>
      </c>
      <c r="B2" t="s">
        <v>40</v>
      </c>
      <c r="C2" s="3"/>
      <c r="D2" s="3"/>
      <c r="E2" s="30" t="s">
        <v>38</v>
      </c>
      <c r="F2" t="s">
        <v>46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8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51483.589</v>
      </c>
      <c r="D7" s="29" t="s">
        <v>41</v>
      </c>
    </row>
    <row r="8" spans="1:6" x14ac:dyDescent="0.2">
      <c r="A8" t="s">
        <v>3</v>
      </c>
      <c r="C8" s="8">
        <v>0.41255799999999998</v>
      </c>
      <c r="D8" s="29" t="s">
        <v>41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6.6804285698086829E-2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2.5011621958928358E-5</v>
      </c>
      <c r="D12" s="3"/>
      <c r="E12" s="10"/>
      <c r="F12">
        <v>1</v>
      </c>
    </row>
    <row r="13" spans="1:6" x14ac:dyDescent="0.2">
      <c r="A13" s="10" t="s">
        <v>18</v>
      </c>
      <c r="B13" s="10"/>
      <c r="C13" s="3" t="s">
        <v>13</v>
      </c>
      <c r="F13">
        <v>2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57297.363021050725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0.41258301162195893</v>
      </c>
      <c r="E16" s="14" t="s">
        <v>30</v>
      </c>
      <c r="F16" s="15">
        <f ca="1">NOW()+15018.5+$C$5/24</f>
        <v>60096.565107407412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35</v>
      </c>
      <c r="F17" s="15">
        <f ca="1">ROUND(2*(F16-$C$7)/$C$8,0)/2+F15</f>
        <v>20878</v>
      </c>
    </row>
    <row r="18" spans="1:21" ht="14.25" thickTop="1" thickBot="1" x14ac:dyDescent="0.25">
      <c r="A18" s="16" t="s">
        <v>5</v>
      </c>
      <c r="B18" s="10"/>
      <c r="C18" s="19">
        <f ca="1">+C15</f>
        <v>57297.363021050725</v>
      </c>
      <c r="D18" s="20">
        <f ca="1">+C16</f>
        <v>0.41258301162195893</v>
      </c>
      <c r="E18" s="14" t="s">
        <v>36</v>
      </c>
      <c r="F18" s="23">
        <f ca="1">ROUND(2*(F16-$C$15)/$C$16,0)/2+F15</f>
        <v>6785.5</v>
      </c>
      <c r="R18">
        <f ca="1">SQRT(SUM(R21:R25)/4)</f>
        <v>0.11088284772013973</v>
      </c>
    </row>
    <row r="19" spans="1:21" ht="13.5" thickTop="1" x14ac:dyDescent="0.2">
      <c r="E19" s="14" t="s">
        <v>31</v>
      </c>
      <c r="F19" s="18">
        <f ca="1">+$C$15+$C$16*F18-15018.5-$C$5/24</f>
        <v>45078.111713078193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48</v>
      </c>
      <c r="J20" s="7" t="s">
        <v>49</v>
      </c>
      <c r="K20" s="7" t="s">
        <v>50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D7</f>
        <v>VSX</v>
      </c>
      <c r="C21" s="8">
        <f>C$7</f>
        <v>51483.589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6.6804285698086829E-2</v>
      </c>
      <c r="Q21" s="2">
        <f>+C21-15018.5</f>
        <v>36465.089</v>
      </c>
      <c r="R21">
        <f ca="1">(G21-O21)^2</f>
        <v>4.4628125876316083E-3</v>
      </c>
    </row>
    <row r="22" spans="1:21" x14ac:dyDescent="0.2">
      <c r="A22" s="31" t="s">
        <v>42</v>
      </c>
      <c r="B22" s="32" t="s">
        <v>43</v>
      </c>
      <c r="C22" s="31">
        <v>55500.683400000002</v>
      </c>
      <c r="D22" s="31">
        <v>1.1999999999999999E-3</v>
      </c>
      <c r="E22">
        <f>+(C22-C$7)/C$8</f>
        <v>9737.0415796082052</v>
      </c>
      <c r="F22">
        <f>ROUND(2*E22,0)/2-F$12</f>
        <v>9736</v>
      </c>
      <c r="G22">
        <f>+C22-(C$7+F22*C$8)</f>
        <v>0.42971200000465615</v>
      </c>
      <c r="K22">
        <f>+G22</f>
        <v>0.42971200000465615</v>
      </c>
      <c r="O22">
        <f ca="1">+C$11+C$12*$F22</f>
        <v>0.31031743709021331</v>
      </c>
      <c r="Q22" s="2">
        <f>+C22-15018.5</f>
        <v>40482.183400000002</v>
      </c>
      <c r="R22">
        <f ca="1">(G22-O22)^2</f>
        <v>1.4255061653530849E-2</v>
      </c>
    </row>
    <row r="23" spans="1:21" x14ac:dyDescent="0.2">
      <c r="A23" s="31" t="s">
        <v>44</v>
      </c>
      <c r="B23" s="32" t="s">
        <v>45</v>
      </c>
      <c r="C23" s="31">
        <v>55881.707199999997</v>
      </c>
      <c r="D23" s="31">
        <v>5.0000000000000001E-4</v>
      </c>
      <c r="E23">
        <f>+(C23-C$7)/C$8</f>
        <v>10660.605781490111</v>
      </c>
      <c r="F23">
        <f>ROUND(2*E23,0)/2-F$12</f>
        <v>10659.5</v>
      </c>
      <c r="G23">
        <f>+C23-(C$7+F23*C$8)</f>
        <v>0.45619900000019697</v>
      </c>
      <c r="K23">
        <f>+G23</f>
        <v>0.45619900000019697</v>
      </c>
      <c r="O23">
        <f ca="1">+C$11+C$12*$F23</f>
        <v>0.33341566996928368</v>
      </c>
      <c r="Q23" s="2">
        <f>+C23-15018.5</f>
        <v>40863.207199999997</v>
      </c>
      <c r="R23">
        <f ca="1">(G23-O23)^2</f>
        <v>1.5075746133480174E-2</v>
      </c>
    </row>
    <row r="24" spans="1:21" x14ac:dyDescent="0.2">
      <c r="A24" s="33" t="s">
        <v>51</v>
      </c>
      <c r="B24" s="34" t="s">
        <v>43</v>
      </c>
      <c r="C24" s="35">
        <v>57297.277390000003</v>
      </c>
      <c r="D24" s="35">
        <v>2.9999999999999997E-4</v>
      </c>
      <c r="E24">
        <f>+(C24-C$7)/C$8</f>
        <v>14091.808642663585</v>
      </c>
      <c r="F24">
        <f>ROUND(2*E24,0)/2-F$12</f>
        <v>14091</v>
      </c>
      <c r="G24">
        <f>+C24-(C$7+F24*C$8)</f>
        <v>0.3336120000021765</v>
      </c>
      <c r="K24">
        <f>+G24</f>
        <v>0.3336120000021765</v>
      </c>
      <c r="O24">
        <f ca="1">+C$11+C$12*$F24</f>
        <v>0.41924305072134632</v>
      </c>
      <c r="Q24" s="2">
        <f>+C24-15018.5</f>
        <v>42278.777390000003</v>
      </c>
      <c r="R24">
        <f ca="1">(G24-O24)^2</f>
        <v>7.3326768472690342E-3</v>
      </c>
    </row>
    <row r="25" spans="1:21" x14ac:dyDescent="0.2">
      <c r="A25" s="33" t="s">
        <v>51</v>
      </c>
      <c r="B25" s="34" t="s">
        <v>45</v>
      </c>
      <c r="C25" s="35">
        <v>57297.479570000003</v>
      </c>
      <c r="D25" s="35">
        <v>4.0000000000000002E-4</v>
      </c>
      <c r="E25">
        <f>+(C25-C$7)/C$8</f>
        <v>14092.298707090889</v>
      </c>
      <c r="F25">
        <f>ROUND(2*E25,0)/2-F$12</f>
        <v>14091.5</v>
      </c>
      <c r="G25">
        <f>+C25-(C$7+F25*C$8)</f>
        <v>0.32951300000422634</v>
      </c>
      <c r="K25">
        <f>+G25</f>
        <v>0.32951300000422634</v>
      </c>
      <c r="O25">
        <f ca="1">+C$11+C$12*$F25</f>
        <v>0.41925555653232577</v>
      </c>
      <c r="Q25" s="2">
        <f>+C25-15018.5</f>
        <v>42278.979570000003</v>
      </c>
      <c r="R25">
        <f ca="1">(G25-O25)^2</f>
        <v>8.0537264521991208E-3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heetProtection sheet="1"/>
  <phoneticPr fontId="8" type="noConversion"/>
  <hyperlinks>
    <hyperlink ref="H3477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2023-05-31T08:03:45Z</dcterms:modified>
</cp:coreProperties>
</file>