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01946D1-B9AC-4A63-A784-3347FFDE9C3C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40" i="2" l="1"/>
  <c r="F40" i="2" s="1"/>
  <c r="G40" i="2" s="1"/>
  <c r="K40" i="2" s="1"/>
  <c r="Q40" i="2"/>
  <c r="E39" i="2"/>
  <c r="F39" i="2"/>
  <c r="G39" i="2"/>
  <c r="K39" i="2"/>
  <c r="Q39" i="2"/>
  <c r="Q37" i="2"/>
  <c r="Q38" i="2"/>
  <c r="D9" i="2"/>
  <c r="C9" i="2"/>
  <c r="Q21" i="2"/>
  <c r="Q23" i="2"/>
  <c r="Q24" i="2"/>
  <c r="Q25" i="2"/>
  <c r="Q26" i="2"/>
  <c r="Q27" i="2"/>
  <c r="Q28" i="2"/>
  <c r="Q29" i="2"/>
  <c r="Q30" i="2"/>
  <c r="Q31" i="2"/>
  <c r="H25" i="3"/>
  <c r="G25" i="3"/>
  <c r="C25" i="3"/>
  <c r="D25" i="3"/>
  <c r="B25" i="3"/>
  <c r="A25" i="3"/>
  <c r="H24" i="3"/>
  <c r="G24" i="3"/>
  <c r="C24" i="3"/>
  <c r="D24" i="3"/>
  <c r="B24" i="3"/>
  <c r="A24" i="3"/>
  <c r="H23" i="3"/>
  <c r="B23" i="3"/>
  <c r="G23" i="3"/>
  <c r="D23" i="3"/>
  <c r="C23" i="3"/>
  <c r="A23" i="3"/>
  <c r="H22" i="3"/>
  <c r="B22" i="3"/>
  <c r="G22" i="3"/>
  <c r="D22" i="3"/>
  <c r="C22" i="3"/>
  <c r="A22" i="3"/>
  <c r="H21" i="3"/>
  <c r="G21" i="3"/>
  <c r="C21" i="3"/>
  <c r="D21" i="3"/>
  <c r="B21" i="3"/>
  <c r="A21" i="3"/>
  <c r="H20" i="3"/>
  <c r="G20" i="3"/>
  <c r="C20" i="3"/>
  <c r="D20" i="3"/>
  <c r="B20" i="3"/>
  <c r="A20" i="3"/>
  <c r="H19" i="3"/>
  <c r="B19" i="3"/>
  <c r="G19" i="3"/>
  <c r="D19" i="3"/>
  <c r="C19" i="3"/>
  <c r="A19" i="3"/>
  <c r="H18" i="3"/>
  <c r="B18" i="3"/>
  <c r="G18" i="3"/>
  <c r="D18" i="3"/>
  <c r="C18" i="3"/>
  <c r="A18" i="3"/>
  <c r="H17" i="3"/>
  <c r="G17" i="3"/>
  <c r="C17" i="3"/>
  <c r="D17" i="3"/>
  <c r="B17" i="3"/>
  <c r="A17" i="3"/>
  <c r="H16" i="3"/>
  <c r="G16" i="3"/>
  <c r="C16" i="3"/>
  <c r="D16" i="3"/>
  <c r="B16" i="3"/>
  <c r="A16" i="3"/>
  <c r="H15" i="3"/>
  <c r="B15" i="3"/>
  <c r="G15" i="3"/>
  <c r="D15" i="3"/>
  <c r="C15" i="3"/>
  <c r="A15" i="3"/>
  <c r="H14" i="3"/>
  <c r="B14" i="3"/>
  <c r="G14" i="3"/>
  <c r="D14" i="3"/>
  <c r="C14" i="3"/>
  <c r="A14" i="3"/>
  <c r="H13" i="3"/>
  <c r="G13" i="3"/>
  <c r="C13" i="3"/>
  <c r="D13" i="3"/>
  <c r="B13" i="3"/>
  <c r="A13" i="3"/>
  <c r="H12" i="3"/>
  <c r="G12" i="3"/>
  <c r="C12" i="3"/>
  <c r="D12" i="3"/>
  <c r="B12" i="3"/>
  <c r="A12" i="3"/>
  <c r="H11" i="3"/>
  <c r="B11" i="3"/>
  <c r="G11" i="3"/>
  <c r="D11" i="3"/>
  <c r="C11" i="3"/>
  <c r="A11" i="3"/>
  <c r="F16" i="2"/>
  <c r="F17" i="2" s="1"/>
  <c r="C17" i="2"/>
  <c r="Q36" i="2"/>
  <c r="C7" i="2"/>
  <c r="E37" i="2"/>
  <c r="F37" i="2"/>
  <c r="C8" i="2"/>
  <c r="E38" i="2"/>
  <c r="F38" i="2"/>
  <c r="Q35" i="2"/>
  <c r="Q22" i="2"/>
  <c r="Q32" i="2"/>
  <c r="Q33" i="2"/>
  <c r="Q34" i="2"/>
  <c r="Q22" i="1"/>
  <c r="Q23" i="1"/>
  <c r="Q24" i="1"/>
  <c r="C7" i="1"/>
  <c r="E23" i="1"/>
  <c r="F23" i="1"/>
  <c r="C8" i="1"/>
  <c r="C18" i="1"/>
  <c r="Q21" i="1"/>
  <c r="E23" i="3"/>
  <c r="E11" i="3"/>
  <c r="E34" i="2"/>
  <c r="F34" i="2"/>
  <c r="E31" i="2"/>
  <c r="F31" i="2"/>
  <c r="G31" i="2"/>
  <c r="H31" i="2"/>
  <c r="E27" i="2"/>
  <c r="F27" i="2"/>
  <c r="E23" i="2"/>
  <c r="F23" i="2"/>
  <c r="G23" i="2"/>
  <c r="H23" i="2"/>
  <c r="G38" i="2"/>
  <c r="K38" i="2"/>
  <c r="E22" i="1"/>
  <c r="F22" i="1"/>
  <c r="G22" i="1"/>
  <c r="I22" i="1"/>
  <c r="E22" i="2"/>
  <c r="F22" i="2"/>
  <c r="G22" i="2"/>
  <c r="H22" i="2"/>
  <c r="E36" i="2"/>
  <c r="F36" i="2"/>
  <c r="G36" i="2"/>
  <c r="I36" i="2"/>
  <c r="E30" i="2"/>
  <c r="F30" i="2"/>
  <c r="G30" i="2"/>
  <c r="H30" i="2"/>
  <c r="E26" i="2"/>
  <c r="F26" i="2"/>
  <c r="G26" i="2"/>
  <c r="H26" i="2"/>
  <c r="E24" i="1"/>
  <c r="F24" i="1"/>
  <c r="G24" i="1"/>
  <c r="I24" i="1"/>
  <c r="E33" i="2"/>
  <c r="F33" i="2"/>
  <c r="G33" i="2"/>
  <c r="I33" i="2"/>
  <c r="G23" i="1"/>
  <c r="I23" i="1"/>
  <c r="G32" i="2"/>
  <c r="I32" i="2"/>
  <c r="E29" i="2"/>
  <c r="E25" i="2"/>
  <c r="F25" i="2"/>
  <c r="G25" i="2"/>
  <c r="H25" i="2"/>
  <c r="G37" i="2"/>
  <c r="K37" i="2"/>
  <c r="E35" i="2"/>
  <c r="F35" i="2"/>
  <c r="G35" i="2"/>
  <c r="I35" i="2"/>
  <c r="E21" i="1"/>
  <c r="F21" i="1"/>
  <c r="G21" i="1"/>
  <c r="G34" i="2"/>
  <c r="I34" i="2"/>
  <c r="E32" i="2"/>
  <c r="F32" i="2"/>
  <c r="G27" i="2"/>
  <c r="H27" i="2"/>
  <c r="E21" i="2"/>
  <c r="F21" i="2"/>
  <c r="G21" i="2"/>
  <c r="E28" i="2"/>
  <c r="F28" i="2"/>
  <c r="G28" i="2"/>
  <c r="H28" i="2"/>
  <c r="E24" i="2"/>
  <c r="F24" i="2"/>
  <c r="G24" i="2"/>
  <c r="H24" i="2"/>
  <c r="C11" i="1"/>
  <c r="H21" i="1"/>
  <c r="C12" i="1"/>
  <c r="C16" i="1"/>
  <c r="D18" i="1"/>
  <c r="H21" i="2"/>
  <c r="E22" i="3"/>
  <c r="E20" i="3"/>
  <c r="E13" i="3"/>
  <c r="E14" i="3"/>
  <c r="E12" i="3"/>
  <c r="E24" i="3"/>
  <c r="E15" i="3"/>
  <c r="E19" i="3"/>
  <c r="F29" i="2"/>
  <c r="G29" i="2"/>
  <c r="E18" i="3"/>
  <c r="E16" i="3"/>
  <c r="E25" i="3"/>
  <c r="E21" i="3"/>
  <c r="E17" i="3"/>
  <c r="H29" i="2"/>
  <c r="O24" i="1"/>
  <c r="O22" i="1"/>
  <c r="O21" i="1"/>
  <c r="O23" i="1"/>
  <c r="C12" i="2"/>
  <c r="C11" i="2"/>
  <c r="O40" i="2" l="1"/>
  <c r="O33" i="2"/>
  <c r="O30" i="2"/>
  <c r="O29" i="2"/>
  <c r="O35" i="2"/>
  <c r="O38" i="2"/>
  <c r="O21" i="2"/>
  <c r="O22" i="2"/>
  <c r="O39" i="2"/>
  <c r="O23" i="2"/>
  <c r="O26" i="2"/>
  <c r="O25" i="2"/>
  <c r="C15" i="2"/>
  <c r="O28" i="2"/>
  <c r="O34" i="2"/>
  <c r="O24" i="2"/>
  <c r="O31" i="2"/>
  <c r="O37" i="2"/>
  <c r="O27" i="2"/>
  <c r="O36" i="2"/>
  <c r="O32" i="2"/>
  <c r="C16" i="2"/>
  <c r="D18" i="2" s="1"/>
  <c r="F18" i="2" l="1"/>
  <c r="F19" i="2" s="1"/>
  <c r="C18" i="2"/>
</calcChain>
</file>

<file path=xl/sharedStrings.xml><?xml version="1.0" encoding="utf-8"?>
<sst xmlns="http://schemas.openxmlformats.org/spreadsheetml/2006/main" count="264" uniqueCount="129">
  <si>
    <t>0.0018</t>
  </si>
  <si>
    <t>0.0020</t>
  </si>
  <si>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</si>
  <si>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</si>
  <si>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</si>
  <si>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</si>
  <si>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</si>
  <si>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</si>
  <si>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</si>
  <si>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</si>
  <si>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</si>
  <si>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</si>
  <si>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</si>
  <si>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</si>
  <si>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</si>
  <si>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</si>
  <si>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</si>
  <si>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</si>
  <si>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</si>
  <si>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</si>
  <si>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</si>
  <si>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</si>
  <si>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</si>
  <si>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</si>
  <si>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</si>
  <si>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</si>
  <si>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</si>
  <si>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</si>
  <si>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</si>
  <si>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</si>
  <si>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</si>
  <si>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</si>
  <si>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</si>
  <si>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</si>
  <si>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BBSAG</t>
  </si>
  <si>
    <t>V719 Aql</t>
  </si>
  <si>
    <t>Paschke A</t>
  </si>
  <si>
    <t>BBSAG Bull.105</t>
  </si>
  <si>
    <t>B</t>
  </si>
  <si>
    <t>BBSAG Bull.108</t>
  </si>
  <si>
    <t>BBSAG Bull.114</t>
  </si>
  <si>
    <t>See page B for a better fit</t>
  </si>
  <si>
    <t>IBVS 5543</t>
  </si>
  <si>
    <t>I</t>
  </si>
  <si>
    <t>EA/SD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</si>
  <si>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</si>
  <si>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</si>
  <si>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</si>
  <si>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</si>
  <si>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</si>
  <si>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</si>
  <si>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</si>
  <si>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0142</t>
  </si>
  <si>
    <t>Add cycle</t>
  </si>
  <si>
    <t>Old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</si>
  <si>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</si>
  <si>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</si>
  <si>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</si>
  <si>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</si>
  <si>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</si>
  <si>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</si>
  <si>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</si>
  <si>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</si>
  <si>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</si>
  <si>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</si>
  <si>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</si>
  <si>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2428753.463 </t>
  </si>
  <si>
    <t> 07.08.1937 23:06 </t>
  </si>
  <si>
    <t> -0.122 </t>
  </si>
  <si>
    <t>P </t>
  </si>
  <si>
    <t> E.Rohlfs </t>
  </si>
  <si>
    <t> VSS 1.241 </t>
  </si>
  <si>
    <t>2429023.556 </t>
  </si>
  <si>
    <t> 05.05.1938 01:20 </t>
  </si>
  <si>
    <t> -0.070 </t>
  </si>
  <si>
    <t>2429050.506 </t>
  </si>
  <si>
    <t> 01.06.1938 00:08 </t>
  </si>
  <si>
    <t> -0.124 </t>
  </si>
  <si>
    <t>2429077.458 </t>
  </si>
  <si>
    <t> 27.06.1938 22:59 </t>
  </si>
  <si>
    <t> -0.176 </t>
  </si>
  <si>
    <t>2429111.422 </t>
  </si>
  <si>
    <t> 31.07.1938 22:07 </t>
  </si>
  <si>
    <t> 0.033 </t>
  </si>
  <si>
    <t>2430164.463 </t>
  </si>
  <si>
    <t> 18.06.1941 23:06 </t>
  </si>
  <si>
    <t> -0.086 </t>
  </si>
  <si>
    <t>2430603.351 </t>
  </si>
  <si>
    <t> 31.08.1942 20:25 </t>
  </si>
  <si>
    <t> -0.014 </t>
  </si>
  <si>
    <t>2430819.597 </t>
  </si>
  <si>
    <t> 05.04.1943 02:19 </t>
  </si>
  <si>
    <t> 0.199 </t>
  </si>
  <si>
    <t>2430900.461 </t>
  </si>
  <si>
    <t> 24.06.1943 23:03 </t>
  </si>
  <si>
    <t> 0.051 </t>
  </si>
  <si>
    <t>2431312.397 </t>
  </si>
  <si>
    <t> 09.08.1944 21:31 </t>
  </si>
  <si>
    <t> 0.174 </t>
  </si>
  <si>
    <t>2449229.429 </t>
  </si>
  <si>
    <t> 29.08.1993 22:17 </t>
  </si>
  <si>
    <t> -0.009 </t>
  </si>
  <si>
    <t>E </t>
  </si>
  <si>
    <t>?</t>
  </si>
  <si>
    <t> A.Paschke </t>
  </si>
  <si>
    <t> BBS 105 </t>
  </si>
  <si>
    <t>2449580.495 </t>
  </si>
  <si>
    <t> 15.08.1994 23:52 </t>
  </si>
  <si>
    <t> 0.004 </t>
  </si>
  <si>
    <t> BBS 108 </t>
  </si>
  <si>
    <t>2450343.366 </t>
  </si>
  <si>
    <t> 16.09.1996 20:47 </t>
  </si>
  <si>
    <t> 0.010 </t>
  </si>
  <si>
    <t> BBS 114 </t>
  </si>
  <si>
    <t>2452861.47 </t>
  </si>
  <si>
    <t> 09.08.2003 23:16 </t>
  </si>
  <si>
    <t> -0.02 </t>
  </si>
  <si>
    <t> BBS 130 </t>
  </si>
  <si>
    <t>2455791.423 </t>
  </si>
  <si>
    <t> 17.08.2011 22:09 </t>
  </si>
  <si>
    <t>C </t>
  </si>
  <si>
    <t>o</t>
  </si>
  <si>
    <t>OEJV 0142 </t>
  </si>
  <si>
    <t>s5</t>
  </si>
  <si>
    <t>s6</t>
  </si>
  <si>
    <t>s7</t>
  </si>
  <si>
    <t>JAVSO 49, 256</t>
  </si>
  <si>
    <t xml:space="preserve">V0719 Aql / GSC 00493-00115 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</si>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</sst>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0" fillId="0" borderId="0" xfId="0">
      <alignment vertical="top"/>
    </xf>
    <xf numFmtId="0" fontId="5" fillId="0" borderId="11" xfId="0" applyFont="1" applyBorder="1" applyAlignment="1">
      <alignment horizontal="left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6" fillId="0" borderId="0" xfId="0" applyFo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14" fontId="17" fillId="0" borderId="0" xfId="0" applyNumberFormat="1" applyFont="1" applyAlignment="1"/>
    <xf numFmtId="0" fontId="12" fillId="0" borderId="0" xfId="0" applyFont="1" applyAlignment="1"/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0" fillId="24" borderId="18" xfId="38" applyFill="1" applyBorder="1" applyAlignment="1" applyProtection="1">
      <alignment horizontal="right" vertical="top" wrapText="1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5" fillId="0" borderId="0" xfId="0" applyFont="1" applyAlignme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7" fillId="0" borderId="0" xfId="0" applyFont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center" vertical="center" wrapText="1"/>
      <protection locked="0"/>
    </xf>
    <xf numFmtId="165" fontId="37" fillId="0" borderId="0" xfId="0" applyNumberFormat="1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38" fillId="0" borderId="0" xfId="0" applyFon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V0719 Aql - O-C Diagr.</a:t>
            </a:r>
          </a:p>
        </c:rich>
      </c:tx>
      <c:layout>
        <c:manualLayout>
          <c:xMode val="edge"/>
          <c:yMode val="edge"/>
          <c:x val="0.3305789462267629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4769252958613219"/>
          <c:w val="0.78099252343802805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44</c:v>
                </c:pt>
                <c:pt idx="4">
                  <c:v>48</c:v>
                </c:pt>
                <c:pt idx="5">
                  <c:v>53</c:v>
                </c:pt>
                <c:pt idx="6">
                  <c:v>209</c:v>
                </c:pt>
                <c:pt idx="7">
                  <c:v>274</c:v>
                </c:pt>
                <c:pt idx="8">
                  <c:v>306</c:v>
                </c:pt>
                <c:pt idx="9">
                  <c:v>318</c:v>
                </c:pt>
                <c:pt idx="10">
                  <c:v>379</c:v>
                </c:pt>
                <c:pt idx="11">
                  <c:v>3033</c:v>
                </c:pt>
                <c:pt idx="12">
                  <c:v>3085</c:v>
                </c:pt>
                <c:pt idx="13">
                  <c:v>3198</c:v>
                </c:pt>
                <c:pt idx="14">
                  <c:v>3571</c:v>
                </c:pt>
                <c:pt idx="15">
                  <c:v>4005</c:v>
                </c:pt>
                <c:pt idx="16">
                  <c:v>4222</c:v>
                </c:pt>
                <c:pt idx="17">
                  <c:v>4270</c:v>
                </c:pt>
                <c:pt idx="18">
                  <c:v>4543</c:v>
                </c:pt>
                <c:pt idx="19">
                  <c:v>4603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-1.3999999999214197E-2</c:v>
                </c:pt>
                <c:pt idx="1">
                  <c:v>0</c:v>
                </c:pt>
                <c:pt idx="2">
                  <c:v>1.0400000002846355E-2</c:v>
                </c:pt>
                <c:pt idx="3">
                  <c:v>-4.6459999997750856E-2</c:v>
                </c:pt>
                <c:pt idx="4">
                  <c:v>-0.10132000000157859</c:v>
                </c:pt>
                <c:pt idx="5">
                  <c:v>0.10410499999852618</c:v>
                </c:pt>
                <c:pt idx="6">
                  <c:v>-0.12243499999749474</c:v>
                </c:pt>
                <c:pt idx="7">
                  <c:v>-9.5910000000003492E-2</c:v>
                </c:pt>
                <c:pt idx="8">
                  <c:v>9.5210000003135065E-2</c:v>
                </c:pt>
                <c:pt idx="9">
                  <c:v>-6.1369999999442371E-2</c:v>
                </c:pt>
                <c:pt idx="10">
                  <c:v>2.0015000001876615E-2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72-4336-9F3B-C1DCC773B0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44</c:v>
                </c:pt>
                <c:pt idx="4">
                  <c:v>48</c:v>
                </c:pt>
                <c:pt idx="5">
                  <c:v>53</c:v>
                </c:pt>
                <c:pt idx="6">
                  <c:v>209</c:v>
                </c:pt>
                <c:pt idx="7">
                  <c:v>274</c:v>
                </c:pt>
                <c:pt idx="8">
                  <c:v>306</c:v>
                </c:pt>
                <c:pt idx="9">
                  <c:v>318</c:v>
                </c:pt>
                <c:pt idx="10">
                  <c:v>379</c:v>
                </c:pt>
                <c:pt idx="11">
                  <c:v>3033</c:v>
                </c:pt>
                <c:pt idx="12">
                  <c:v>3085</c:v>
                </c:pt>
                <c:pt idx="13">
                  <c:v>3198</c:v>
                </c:pt>
                <c:pt idx="14">
                  <c:v>3571</c:v>
                </c:pt>
                <c:pt idx="15">
                  <c:v>4005</c:v>
                </c:pt>
                <c:pt idx="16">
                  <c:v>4222</c:v>
                </c:pt>
                <c:pt idx="17">
                  <c:v>4270</c:v>
                </c:pt>
                <c:pt idx="18">
                  <c:v>4543</c:v>
                </c:pt>
                <c:pt idx="19">
                  <c:v>4603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1">
                  <c:v>-1.9995950000011362</c:v>
                </c:pt>
                <c:pt idx="12">
                  <c:v>-2.0227749999976368</c:v>
                </c:pt>
                <c:pt idx="13">
                  <c:v>-2.0955699999976787</c:v>
                </c:pt>
                <c:pt idx="14">
                  <c:v>-2.3812649999963469</c:v>
                </c:pt>
                <c:pt idx="15">
                  <c:v>-2.6725749999968684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72-4336-9F3B-C1DCC773B04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44</c:v>
                </c:pt>
                <c:pt idx="4">
                  <c:v>48</c:v>
                </c:pt>
                <c:pt idx="5">
                  <c:v>53</c:v>
                </c:pt>
                <c:pt idx="6">
                  <c:v>209</c:v>
                </c:pt>
                <c:pt idx="7">
                  <c:v>274</c:v>
                </c:pt>
                <c:pt idx="8">
                  <c:v>306</c:v>
                </c:pt>
                <c:pt idx="9">
                  <c:v>318</c:v>
                </c:pt>
                <c:pt idx="10">
                  <c:v>379</c:v>
                </c:pt>
                <c:pt idx="11">
                  <c:v>3033</c:v>
                </c:pt>
                <c:pt idx="12">
                  <c:v>3085</c:v>
                </c:pt>
                <c:pt idx="13">
                  <c:v>3198</c:v>
                </c:pt>
                <c:pt idx="14">
                  <c:v>3571</c:v>
                </c:pt>
                <c:pt idx="15">
                  <c:v>4005</c:v>
                </c:pt>
                <c:pt idx="16">
                  <c:v>4222</c:v>
                </c:pt>
                <c:pt idx="17">
                  <c:v>4270</c:v>
                </c:pt>
                <c:pt idx="18">
                  <c:v>4543</c:v>
                </c:pt>
                <c:pt idx="19">
                  <c:v>4603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72-4336-9F3B-C1DCC773B04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44</c:v>
                </c:pt>
                <c:pt idx="4">
                  <c:v>48</c:v>
                </c:pt>
                <c:pt idx="5">
                  <c:v>53</c:v>
                </c:pt>
                <c:pt idx="6">
                  <c:v>209</c:v>
                </c:pt>
                <c:pt idx="7">
                  <c:v>274</c:v>
                </c:pt>
                <c:pt idx="8">
                  <c:v>306</c:v>
                </c:pt>
                <c:pt idx="9">
                  <c:v>318</c:v>
                </c:pt>
                <c:pt idx="10">
                  <c:v>379</c:v>
                </c:pt>
                <c:pt idx="11">
                  <c:v>3033</c:v>
                </c:pt>
                <c:pt idx="12">
                  <c:v>3085</c:v>
                </c:pt>
                <c:pt idx="13">
                  <c:v>3198</c:v>
                </c:pt>
                <c:pt idx="14">
                  <c:v>3571</c:v>
                </c:pt>
                <c:pt idx="15">
                  <c:v>4005</c:v>
                </c:pt>
                <c:pt idx="16">
                  <c:v>4222</c:v>
                </c:pt>
                <c:pt idx="17">
                  <c:v>4270</c:v>
                </c:pt>
                <c:pt idx="18">
                  <c:v>4543</c:v>
                </c:pt>
                <c:pt idx="19">
                  <c:v>4603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6">
                  <c:v>-2.8418300000048475</c:v>
                </c:pt>
                <c:pt idx="17">
                  <c:v>-2.8772499999977299</c:v>
                </c:pt>
                <c:pt idx="18">
                  <c:v>-3.0700450000003912</c:v>
                </c:pt>
                <c:pt idx="19">
                  <c:v>-3.1158450000002631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72-4336-9F3B-C1DCC773B04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44</c:v>
                </c:pt>
                <c:pt idx="4">
                  <c:v>48</c:v>
                </c:pt>
                <c:pt idx="5">
                  <c:v>53</c:v>
                </c:pt>
                <c:pt idx="6">
                  <c:v>209</c:v>
                </c:pt>
                <c:pt idx="7">
                  <c:v>274</c:v>
                </c:pt>
                <c:pt idx="8">
                  <c:v>306</c:v>
                </c:pt>
                <c:pt idx="9">
                  <c:v>318</c:v>
                </c:pt>
                <c:pt idx="10">
                  <c:v>379</c:v>
                </c:pt>
                <c:pt idx="11">
                  <c:v>3033</c:v>
                </c:pt>
                <c:pt idx="12">
                  <c:v>3085</c:v>
                </c:pt>
                <c:pt idx="13">
                  <c:v>3198</c:v>
                </c:pt>
                <c:pt idx="14">
                  <c:v>3571</c:v>
                </c:pt>
                <c:pt idx="15">
                  <c:v>4005</c:v>
                </c:pt>
                <c:pt idx="16">
                  <c:v>4222</c:v>
                </c:pt>
                <c:pt idx="17">
                  <c:v>4270</c:v>
                </c:pt>
                <c:pt idx="18">
                  <c:v>4543</c:v>
                </c:pt>
                <c:pt idx="19">
                  <c:v>4603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72-4336-9F3B-C1DCC773B0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44</c:v>
                </c:pt>
                <c:pt idx="4">
                  <c:v>48</c:v>
                </c:pt>
                <c:pt idx="5">
                  <c:v>53</c:v>
                </c:pt>
                <c:pt idx="6">
                  <c:v>209</c:v>
                </c:pt>
                <c:pt idx="7">
                  <c:v>274</c:v>
                </c:pt>
                <c:pt idx="8">
                  <c:v>306</c:v>
                </c:pt>
                <c:pt idx="9">
                  <c:v>318</c:v>
                </c:pt>
                <c:pt idx="10">
                  <c:v>379</c:v>
                </c:pt>
                <c:pt idx="11">
                  <c:v>3033</c:v>
                </c:pt>
                <c:pt idx="12">
                  <c:v>3085</c:v>
                </c:pt>
                <c:pt idx="13">
                  <c:v>3198</c:v>
                </c:pt>
                <c:pt idx="14">
                  <c:v>3571</c:v>
                </c:pt>
                <c:pt idx="15">
                  <c:v>4005</c:v>
                </c:pt>
                <c:pt idx="16">
                  <c:v>4222</c:v>
                </c:pt>
                <c:pt idx="17">
                  <c:v>4270</c:v>
                </c:pt>
                <c:pt idx="18">
                  <c:v>4543</c:v>
                </c:pt>
                <c:pt idx="19">
                  <c:v>4603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72-4336-9F3B-C1DCC773B0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44</c:v>
                </c:pt>
                <c:pt idx="4">
                  <c:v>48</c:v>
                </c:pt>
                <c:pt idx="5">
                  <c:v>53</c:v>
                </c:pt>
                <c:pt idx="6">
                  <c:v>209</c:v>
                </c:pt>
                <c:pt idx="7">
                  <c:v>274</c:v>
                </c:pt>
                <c:pt idx="8">
                  <c:v>306</c:v>
                </c:pt>
                <c:pt idx="9">
                  <c:v>318</c:v>
                </c:pt>
                <c:pt idx="10">
                  <c:v>379</c:v>
                </c:pt>
                <c:pt idx="11">
                  <c:v>3033</c:v>
                </c:pt>
                <c:pt idx="12">
                  <c:v>3085</c:v>
                </c:pt>
                <c:pt idx="13">
                  <c:v>3198</c:v>
                </c:pt>
                <c:pt idx="14">
                  <c:v>3571</c:v>
                </c:pt>
                <c:pt idx="15">
                  <c:v>4005</c:v>
                </c:pt>
                <c:pt idx="16">
                  <c:v>4222</c:v>
                </c:pt>
                <c:pt idx="17">
                  <c:v>4270</c:v>
                </c:pt>
                <c:pt idx="18">
                  <c:v>4543</c:v>
                </c:pt>
                <c:pt idx="19">
                  <c:v>4603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72-4336-9F3B-C1DCC773B0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44</c:v>
                </c:pt>
                <c:pt idx="4">
                  <c:v>48</c:v>
                </c:pt>
                <c:pt idx="5">
                  <c:v>53</c:v>
                </c:pt>
                <c:pt idx="6">
                  <c:v>209</c:v>
                </c:pt>
                <c:pt idx="7">
                  <c:v>274</c:v>
                </c:pt>
                <c:pt idx="8">
                  <c:v>306</c:v>
                </c:pt>
                <c:pt idx="9">
                  <c:v>318</c:v>
                </c:pt>
                <c:pt idx="10">
                  <c:v>379</c:v>
                </c:pt>
                <c:pt idx="11">
                  <c:v>3033</c:v>
                </c:pt>
                <c:pt idx="12">
                  <c:v>3085</c:v>
                </c:pt>
                <c:pt idx="13">
                  <c:v>3198</c:v>
                </c:pt>
                <c:pt idx="14">
                  <c:v>3571</c:v>
                </c:pt>
                <c:pt idx="15">
                  <c:v>4005</c:v>
                </c:pt>
                <c:pt idx="16">
                  <c:v>4222</c:v>
                </c:pt>
                <c:pt idx="17">
                  <c:v>4270</c:v>
                </c:pt>
                <c:pt idx="18">
                  <c:v>4543</c:v>
                </c:pt>
                <c:pt idx="19">
                  <c:v>4603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8.4070471731717333E-2</c:v>
                </c:pt>
                <c:pt idx="1">
                  <c:v>8.4070471731717333E-2</c:v>
                </c:pt>
                <c:pt idx="2">
                  <c:v>5.648015717176999E-2</c:v>
                </c:pt>
                <c:pt idx="3">
                  <c:v>5.3721125715775253E-2</c:v>
                </c:pt>
                <c:pt idx="4">
                  <c:v>5.0962094259780516E-2</c:v>
                </c:pt>
                <c:pt idx="5">
                  <c:v>4.7513304939787102E-2</c:v>
                </c:pt>
                <c:pt idx="6">
                  <c:v>-6.0088921844007548E-2</c:v>
                </c:pt>
                <c:pt idx="7">
                  <c:v>-0.10492318300392198</c:v>
                </c:pt>
                <c:pt idx="8">
                  <c:v>-0.12699543465187985</c:v>
                </c:pt>
                <c:pt idx="9">
                  <c:v>-0.13527252901986406</c:v>
                </c:pt>
                <c:pt idx="10">
                  <c:v>-0.17734775872378378</c:v>
                </c:pt>
                <c:pt idx="11">
                  <c:v>-2.0079651297762902</c:v>
                </c:pt>
                <c:pt idx="12">
                  <c:v>-2.0438325387042218</c:v>
                </c:pt>
                <c:pt idx="13">
                  <c:v>-2.1217751773360729</c:v>
                </c:pt>
                <c:pt idx="14">
                  <c:v>-2.3790548606075821</c:v>
                </c:pt>
                <c:pt idx="15">
                  <c:v>-2.6784097735830104</c:v>
                </c:pt>
                <c:pt idx="16">
                  <c:v>-2.8280872300707247</c:v>
                </c:pt>
                <c:pt idx="17">
                  <c:v>-2.8611956075426619</c:v>
                </c:pt>
                <c:pt idx="18">
                  <c:v>-3.0494995044143023</c:v>
                </c:pt>
                <c:pt idx="19">
                  <c:v>-3.0908849762542232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72-4336-9F3B-C1DCC773B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7846208"/>
        <c:axId val="1"/>
      </c:scatterChart>
      <c:valAx>
        <c:axId val="627846208"/>
        <c:scaling>
          <c:orientation val="minMax"/>
          <c:min val="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1.8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7846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42977375761914"/>
          <c:y val="0.92000129214617399"/>
          <c:w val="0.8388438428667490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V719 Aql - O-C Diagr.</a:t>
            </a:r>
          </a:p>
        </c:rich>
      </c:tx>
      <c:layout>
        <c:manualLayout>
          <c:xMode val="edge"/>
          <c:yMode val="edge"/>
          <c:x val="0.3319587628865979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2474226804125"/>
          <c:y val="0.14723926380368099"/>
          <c:w val="0.78144329896907216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44</c:v>
                </c:pt>
                <c:pt idx="4">
                  <c:v>48</c:v>
                </c:pt>
                <c:pt idx="5">
                  <c:v>53</c:v>
                </c:pt>
                <c:pt idx="6">
                  <c:v>209</c:v>
                </c:pt>
                <c:pt idx="7">
                  <c:v>274</c:v>
                </c:pt>
                <c:pt idx="8">
                  <c:v>306</c:v>
                </c:pt>
                <c:pt idx="9">
                  <c:v>318</c:v>
                </c:pt>
                <c:pt idx="10">
                  <c:v>379</c:v>
                </c:pt>
                <c:pt idx="11">
                  <c:v>3033</c:v>
                </c:pt>
                <c:pt idx="12">
                  <c:v>3085</c:v>
                </c:pt>
                <c:pt idx="13">
                  <c:v>3198</c:v>
                </c:pt>
                <c:pt idx="14">
                  <c:v>3571</c:v>
                </c:pt>
                <c:pt idx="15">
                  <c:v>4005</c:v>
                </c:pt>
                <c:pt idx="16">
                  <c:v>4222</c:v>
                </c:pt>
                <c:pt idx="17">
                  <c:v>4270</c:v>
                </c:pt>
                <c:pt idx="18">
                  <c:v>4543</c:v>
                </c:pt>
                <c:pt idx="19">
                  <c:v>4603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-1.3999999999214197E-2</c:v>
                </c:pt>
                <c:pt idx="1">
                  <c:v>0</c:v>
                </c:pt>
                <c:pt idx="2">
                  <c:v>1.0400000002846355E-2</c:v>
                </c:pt>
                <c:pt idx="3">
                  <c:v>-4.6459999997750856E-2</c:v>
                </c:pt>
                <c:pt idx="4">
                  <c:v>-0.10132000000157859</c:v>
                </c:pt>
                <c:pt idx="5">
                  <c:v>0.10410499999852618</c:v>
                </c:pt>
                <c:pt idx="6">
                  <c:v>-0.12243499999749474</c:v>
                </c:pt>
                <c:pt idx="7">
                  <c:v>-9.5910000000003492E-2</c:v>
                </c:pt>
                <c:pt idx="8">
                  <c:v>9.5210000003135065E-2</c:v>
                </c:pt>
                <c:pt idx="9">
                  <c:v>-6.1369999999442371E-2</c:v>
                </c:pt>
                <c:pt idx="10">
                  <c:v>2.0015000001876615E-2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4-460D-BA5B-91F20A333D7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44</c:v>
                </c:pt>
                <c:pt idx="4">
                  <c:v>48</c:v>
                </c:pt>
                <c:pt idx="5">
                  <c:v>53</c:v>
                </c:pt>
                <c:pt idx="6">
                  <c:v>209</c:v>
                </c:pt>
                <c:pt idx="7">
                  <c:v>274</c:v>
                </c:pt>
                <c:pt idx="8">
                  <c:v>306</c:v>
                </c:pt>
                <c:pt idx="9">
                  <c:v>318</c:v>
                </c:pt>
                <c:pt idx="10">
                  <c:v>379</c:v>
                </c:pt>
                <c:pt idx="11">
                  <c:v>3033</c:v>
                </c:pt>
                <c:pt idx="12">
                  <c:v>3085</c:v>
                </c:pt>
                <c:pt idx="13">
                  <c:v>3198</c:v>
                </c:pt>
                <c:pt idx="14">
                  <c:v>3571</c:v>
                </c:pt>
                <c:pt idx="15">
                  <c:v>4005</c:v>
                </c:pt>
                <c:pt idx="16">
                  <c:v>4222</c:v>
                </c:pt>
                <c:pt idx="17">
                  <c:v>4270</c:v>
                </c:pt>
                <c:pt idx="18">
                  <c:v>4543</c:v>
                </c:pt>
                <c:pt idx="19">
                  <c:v>4603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1">
                  <c:v>-1.9995950000011362</c:v>
                </c:pt>
                <c:pt idx="12">
                  <c:v>-2.0227749999976368</c:v>
                </c:pt>
                <c:pt idx="13">
                  <c:v>-2.0955699999976787</c:v>
                </c:pt>
                <c:pt idx="14">
                  <c:v>-2.3812649999963469</c:v>
                </c:pt>
                <c:pt idx="15">
                  <c:v>-2.6725749999968684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4-460D-BA5B-91F20A333D7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44</c:v>
                </c:pt>
                <c:pt idx="4">
                  <c:v>48</c:v>
                </c:pt>
                <c:pt idx="5">
                  <c:v>53</c:v>
                </c:pt>
                <c:pt idx="6">
                  <c:v>209</c:v>
                </c:pt>
                <c:pt idx="7">
                  <c:v>274</c:v>
                </c:pt>
                <c:pt idx="8">
                  <c:v>306</c:v>
                </c:pt>
                <c:pt idx="9">
                  <c:v>318</c:v>
                </c:pt>
                <c:pt idx="10">
                  <c:v>379</c:v>
                </c:pt>
                <c:pt idx="11">
                  <c:v>3033</c:v>
                </c:pt>
                <c:pt idx="12">
                  <c:v>3085</c:v>
                </c:pt>
                <c:pt idx="13">
                  <c:v>3198</c:v>
                </c:pt>
                <c:pt idx="14">
                  <c:v>3571</c:v>
                </c:pt>
                <c:pt idx="15">
                  <c:v>4005</c:v>
                </c:pt>
                <c:pt idx="16">
                  <c:v>4222</c:v>
                </c:pt>
                <c:pt idx="17">
                  <c:v>4270</c:v>
                </c:pt>
                <c:pt idx="18">
                  <c:v>4543</c:v>
                </c:pt>
                <c:pt idx="19">
                  <c:v>4603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4-460D-BA5B-91F20A333D7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44</c:v>
                </c:pt>
                <c:pt idx="4">
                  <c:v>48</c:v>
                </c:pt>
                <c:pt idx="5">
                  <c:v>53</c:v>
                </c:pt>
                <c:pt idx="6">
                  <c:v>209</c:v>
                </c:pt>
                <c:pt idx="7">
                  <c:v>274</c:v>
                </c:pt>
                <c:pt idx="8">
                  <c:v>306</c:v>
                </c:pt>
                <c:pt idx="9">
                  <c:v>318</c:v>
                </c:pt>
                <c:pt idx="10">
                  <c:v>379</c:v>
                </c:pt>
                <c:pt idx="11">
                  <c:v>3033</c:v>
                </c:pt>
                <c:pt idx="12">
                  <c:v>3085</c:v>
                </c:pt>
                <c:pt idx="13">
                  <c:v>3198</c:v>
                </c:pt>
                <c:pt idx="14">
                  <c:v>3571</c:v>
                </c:pt>
                <c:pt idx="15">
                  <c:v>4005</c:v>
                </c:pt>
                <c:pt idx="16">
                  <c:v>4222</c:v>
                </c:pt>
                <c:pt idx="17">
                  <c:v>4270</c:v>
                </c:pt>
                <c:pt idx="18">
                  <c:v>4543</c:v>
                </c:pt>
                <c:pt idx="19">
                  <c:v>4603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6">
                  <c:v>-2.8418300000048475</c:v>
                </c:pt>
                <c:pt idx="17">
                  <c:v>-2.8772499999977299</c:v>
                </c:pt>
                <c:pt idx="18">
                  <c:v>-3.0700450000003912</c:v>
                </c:pt>
                <c:pt idx="19">
                  <c:v>-3.1158450000002631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4-460D-BA5B-91F20A333D7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44</c:v>
                </c:pt>
                <c:pt idx="4">
                  <c:v>48</c:v>
                </c:pt>
                <c:pt idx="5">
                  <c:v>53</c:v>
                </c:pt>
                <c:pt idx="6">
                  <c:v>209</c:v>
                </c:pt>
                <c:pt idx="7">
                  <c:v>274</c:v>
                </c:pt>
                <c:pt idx="8">
                  <c:v>306</c:v>
                </c:pt>
                <c:pt idx="9">
                  <c:v>318</c:v>
                </c:pt>
                <c:pt idx="10">
                  <c:v>379</c:v>
                </c:pt>
                <c:pt idx="11">
                  <c:v>3033</c:v>
                </c:pt>
                <c:pt idx="12">
                  <c:v>3085</c:v>
                </c:pt>
                <c:pt idx="13">
                  <c:v>3198</c:v>
                </c:pt>
                <c:pt idx="14">
                  <c:v>3571</c:v>
                </c:pt>
                <c:pt idx="15">
                  <c:v>4005</c:v>
                </c:pt>
                <c:pt idx="16">
                  <c:v>4222</c:v>
                </c:pt>
                <c:pt idx="17">
                  <c:v>4270</c:v>
                </c:pt>
                <c:pt idx="18">
                  <c:v>4543</c:v>
                </c:pt>
                <c:pt idx="19">
                  <c:v>4603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A4-460D-BA5B-91F20A333D7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44</c:v>
                </c:pt>
                <c:pt idx="4">
                  <c:v>48</c:v>
                </c:pt>
                <c:pt idx="5">
                  <c:v>53</c:v>
                </c:pt>
                <c:pt idx="6">
                  <c:v>209</c:v>
                </c:pt>
                <c:pt idx="7">
                  <c:v>274</c:v>
                </c:pt>
                <c:pt idx="8">
                  <c:v>306</c:v>
                </c:pt>
                <c:pt idx="9">
                  <c:v>318</c:v>
                </c:pt>
                <c:pt idx="10">
                  <c:v>379</c:v>
                </c:pt>
                <c:pt idx="11">
                  <c:v>3033</c:v>
                </c:pt>
                <c:pt idx="12">
                  <c:v>3085</c:v>
                </c:pt>
                <c:pt idx="13">
                  <c:v>3198</c:v>
                </c:pt>
                <c:pt idx="14">
                  <c:v>3571</c:v>
                </c:pt>
                <c:pt idx="15">
                  <c:v>4005</c:v>
                </c:pt>
                <c:pt idx="16">
                  <c:v>4222</c:v>
                </c:pt>
                <c:pt idx="17">
                  <c:v>4270</c:v>
                </c:pt>
                <c:pt idx="18">
                  <c:v>4543</c:v>
                </c:pt>
                <c:pt idx="19">
                  <c:v>4603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A4-460D-BA5B-91F20A333D7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8.0000000000000002E-3</c:v>
                  </c:pt>
                  <c:pt idx="12">
                    <c:v>0.01</c:v>
                  </c:pt>
                  <c:pt idx="13">
                    <c:v>1.4999999999999999E-2</c:v>
                  </c:pt>
                  <c:pt idx="14">
                    <c:v>0.01</c:v>
                  </c:pt>
                  <c:pt idx="15">
                    <c:v>6.0000000000000001E-3</c:v>
                  </c:pt>
                  <c:pt idx="16">
                    <c:v>0</c:v>
                  </c:pt>
                  <c:pt idx="17">
                    <c:v>0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44</c:v>
                </c:pt>
                <c:pt idx="4">
                  <c:v>48</c:v>
                </c:pt>
                <c:pt idx="5">
                  <c:v>53</c:v>
                </c:pt>
                <c:pt idx="6">
                  <c:v>209</c:v>
                </c:pt>
                <c:pt idx="7">
                  <c:v>274</c:v>
                </c:pt>
                <c:pt idx="8">
                  <c:v>306</c:v>
                </c:pt>
                <c:pt idx="9">
                  <c:v>318</c:v>
                </c:pt>
                <c:pt idx="10">
                  <c:v>379</c:v>
                </c:pt>
                <c:pt idx="11">
                  <c:v>3033</c:v>
                </c:pt>
                <c:pt idx="12">
                  <c:v>3085</c:v>
                </c:pt>
                <c:pt idx="13">
                  <c:v>3198</c:v>
                </c:pt>
                <c:pt idx="14">
                  <c:v>3571</c:v>
                </c:pt>
                <c:pt idx="15">
                  <c:v>4005</c:v>
                </c:pt>
                <c:pt idx="16">
                  <c:v>4222</c:v>
                </c:pt>
                <c:pt idx="17">
                  <c:v>4270</c:v>
                </c:pt>
                <c:pt idx="18">
                  <c:v>4543</c:v>
                </c:pt>
                <c:pt idx="19">
                  <c:v>4603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A4-460D-BA5B-91F20A333D7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44</c:v>
                </c:pt>
                <c:pt idx="4">
                  <c:v>48</c:v>
                </c:pt>
                <c:pt idx="5">
                  <c:v>53</c:v>
                </c:pt>
                <c:pt idx="6">
                  <c:v>209</c:v>
                </c:pt>
                <c:pt idx="7">
                  <c:v>274</c:v>
                </c:pt>
                <c:pt idx="8">
                  <c:v>306</c:v>
                </c:pt>
                <c:pt idx="9">
                  <c:v>318</c:v>
                </c:pt>
                <c:pt idx="10">
                  <c:v>379</c:v>
                </c:pt>
                <c:pt idx="11">
                  <c:v>3033</c:v>
                </c:pt>
                <c:pt idx="12">
                  <c:v>3085</c:v>
                </c:pt>
                <c:pt idx="13">
                  <c:v>3198</c:v>
                </c:pt>
                <c:pt idx="14">
                  <c:v>3571</c:v>
                </c:pt>
                <c:pt idx="15">
                  <c:v>4005</c:v>
                </c:pt>
                <c:pt idx="16">
                  <c:v>4222</c:v>
                </c:pt>
                <c:pt idx="17">
                  <c:v>4270</c:v>
                </c:pt>
                <c:pt idx="18">
                  <c:v>4543</c:v>
                </c:pt>
                <c:pt idx="19">
                  <c:v>4603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8.4070471731717333E-2</c:v>
                </c:pt>
                <c:pt idx="1">
                  <c:v>8.4070471731717333E-2</c:v>
                </c:pt>
                <c:pt idx="2">
                  <c:v>5.648015717176999E-2</c:v>
                </c:pt>
                <c:pt idx="3">
                  <c:v>5.3721125715775253E-2</c:v>
                </c:pt>
                <c:pt idx="4">
                  <c:v>5.0962094259780516E-2</c:v>
                </c:pt>
                <c:pt idx="5">
                  <c:v>4.7513304939787102E-2</c:v>
                </c:pt>
                <c:pt idx="6">
                  <c:v>-6.0088921844007548E-2</c:v>
                </c:pt>
                <c:pt idx="7">
                  <c:v>-0.10492318300392198</c:v>
                </c:pt>
                <c:pt idx="8">
                  <c:v>-0.12699543465187985</c:v>
                </c:pt>
                <c:pt idx="9">
                  <c:v>-0.13527252901986406</c:v>
                </c:pt>
                <c:pt idx="10">
                  <c:v>-0.17734775872378378</c:v>
                </c:pt>
                <c:pt idx="11">
                  <c:v>-2.0079651297762902</c:v>
                </c:pt>
                <c:pt idx="12">
                  <c:v>-2.0438325387042218</c:v>
                </c:pt>
                <c:pt idx="13">
                  <c:v>-2.1217751773360729</c:v>
                </c:pt>
                <c:pt idx="14">
                  <c:v>-2.3790548606075821</c:v>
                </c:pt>
                <c:pt idx="15">
                  <c:v>-2.6784097735830104</c:v>
                </c:pt>
                <c:pt idx="16">
                  <c:v>-2.8280872300707247</c:v>
                </c:pt>
                <c:pt idx="17">
                  <c:v>-2.8611956075426619</c:v>
                </c:pt>
                <c:pt idx="18">
                  <c:v>-3.0494995044143023</c:v>
                </c:pt>
                <c:pt idx="19">
                  <c:v>-3.0908849762542232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A4-460D-BA5B-91F20A33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7844408"/>
        <c:axId val="1"/>
      </c:scatterChart>
      <c:valAx>
        <c:axId val="62784440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6494845360825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7844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402061855670103"/>
          <c:y val="0.92024539877300615"/>
          <c:w val="0.83711340206185569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V719 Aql - O-C Diagr.</a:t>
            </a:r>
          </a:p>
        </c:rich>
      </c:tx>
      <c:layout>
        <c:manualLayout>
          <c:xMode val="edge"/>
          <c:yMode val="edge"/>
          <c:x val="0.3305789462267629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89271622860867"/>
          <c:y val="0.15"/>
          <c:w val="0.7892569945855204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3032.5</c:v>
                </c:pt>
                <c:pt idx="2">
                  <c:v>3084.5</c:v>
                </c:pt>
                <c:pt idx="3">
                  <c:v>3197.5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D9-47CC-AB07-87C2B4BDADBD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8.0000000000000002E-3</c:v>
                  </c:pt>
                  <c:pt idx="2">
                    <c:v>0.01</c:v>
                  </c:pt>
                  <c:pt idx="3">
                    <c:v>1.4999999999999999E-2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8.0000000000000002E-3</c:v>
                  </c:pt>
                  <c:pt idx="2">
                    <c:v>0.01</c:v>
                  </c:pt>
                  <c:pt idx="3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3032.5</c:v>
                </c:pt>
                <c:pt idx="2">
                  <c:v>3084.5</c:v>
                </c:pt>
                <c:pt idx="3">
                  <c:v>3197.5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1.3762625000017579</c:v>
                </c:pt>
                <c:pt idx="2">
                  <c:v>1.3530825000052573</c:v>
                </c:pt>
                <c:pt idx="3">
                  <c:v>1.2802874999979394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D9-47CC-AB07-87C2B4BDADBD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8.0000000000000002E-3</c:v>
                  </c:pt>
                  <c:pt idx="2">
                    <c:v>0.01</c:v>
                  </c:pt>
                  <c:pt idx="3">
                    <c:v>1.4999999999999999E-2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8.0000000000000002E-3</c:v>
                  </c:pt>
                  <c:pt idx="2">
                    <c:v>0.01</c:v>
                  </c:pt>
                  <c:pt idx="3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3032.5</c:v>
                </c:pt>
                <c:pt idx="2">
                  <c:v>3084.5</c:v>
                </c:pt>
                <c:pt idx="3">
                  <c:v>3197.5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D9-47CC-AB07-87C2B4BDADBD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8.0000000000000002E-3</c:v>
                  </c:pt>
                  <c:pt idx="2">
                    <c:v>0.01</c:v>
                  </c:pt>
                  <c:pt idx="3">
                    <c:v>1.4999999999999999E-2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8.0000000000000002E-3</c:v>
                  </c:pt>
                  <c:pt idx="2">
                    <c:v>0.01</c:v>
                  </c:pt>
                  <c:pt idx="3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3032.5</c:v>
                </c:pt>
                <c:pt idx="2">
                  <c:v>3084.5</c:v>
                </c:pt>
                <c:pt idx="3">
                  <c:v>3197.5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D9-47CC-AB07-87C2B4BDADBD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8.0000000000000002E-3</c:v>
                  </c:pt>
                  <c:pt idx="2">
                    <c:v>0.01</c:v>
                  </c:pt>
                  <c:pt idx="3">
                    <c:v>1.4999999999999999E-2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8.0000000000000002E-3</c:v>
                  </c:pt>
                  <c:pt idx="2">
                    <c:v>0.01</c:v>
                  </c:pt>
                  <c:pt idx="3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3032.5</c:v>
                </c:pt>
                <c:pt idx="2">
                  <c:v>3084.5</c:v>
                </c:pt>
                <c:pt idx="3">
                  <c:v>3197.5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D9-47CC-AB07-87C2B4BDADBD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8.0000000000000002E-3</c:v>
                  </c:pt>
                  <c:pt idx="2">
                    <c:v>0.01</c:v>
                  </c:pt>
                  <c:pt idx="3">
                    <c:v>1.4999999999999999E-2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8.0000000000000002E-3</c:v>
                  </c:pt>
                  <c:pt idx="2">
                    <c:v>0.01</c:v>
                  </c:pt>
                  <c:pt idx="3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3032.5</c:v>
                </c:pt>
                <c:pt idx="2">
                  <c:v>3084.5</c:v>
                </c:pt>
                <c:pt idx="3">
                  <c:v>3197.5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D9-47CC-AB07-87C2B4BDADBD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8.0000000000000002E-3</c:v>
                  </c:pt>
                  <c:pt idx="2">
                    <c:v>0.01</c:v>
                  </c:pt>
                  <c:pt idx="3">
                    <c:v>1.4999999999999999E-2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8.0000000000000002E-3</c:v>
                  </c:pt>
                  <c:pt idx="2">
                    <c:v>0.01</c:v>
                  </c:pt>
                  <c:pt idx="3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3032.5</c:v>
                </c:pt>
                <c:pt idx="2">
                  <c:v>3084.5</c:v>
                </c:pt>
                <c:pt idx="3">
                  <c:v>3197.5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D9-47CC-AB07-87C2B4BDADBD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3032.5</c:v>
                </c:pt>
                <c:pt idx="2">
                  <c:v>3084.5</c:v>
                </c:pt>
                <c:pt idx="3">
                  <c:v>3197.5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4.6767528788954627E-3</c:v>
                </c:pt>
                <c:pt idx="1">
                  <c:v>1.3039930386531209</c:v>
                </c:pt>
                <c:pt idx="2">
                  <c:v>1.3262731530340806</c:v>
                </c:pt>
                <c:pt idx="3">
                  <c:v>1.3746895554388581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D9-47CC-AB07-87C2B4BDA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308136"/>
        <c:axId val="1"/>
      </c:scatterChart>
      <c:valAx>
        <c:axId val="529308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95475152382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9308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3.9256198347107439E-2"/>
          <c:y val="0.91874999999999996"/>
          <c:w val="0.99173640485022019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14</xdr:col>
      <xdr:colOff>114300</xdr:colOff>
      <xdr:row>18</xdr:row>
      <xdr:rowOff>19050</xdr:rowOff>
    </xdr:to>
    <xdr:graphicFrame macro="">
      <xdr:nvGraphicFramePr>
        <xdr:cNvPr id="50182" name="Chart 1">
          <a:extLst>
            <a:ext uri="{FF2B5EF4-FFF2-40B4-BE49-F238E27FC236}">
              <a16:creationId xmlns:a16="http://schemas.microsoft.com/office/drawing/2014/main" id="{753ADABA-787A-6386-5A8B-C2C307AA3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0</xdr:row>
      <xdr:rowOff>0</xdr:rowOff>
    </xdr:from>
    <xdr:to>
      <xdr:col>22</xdr:col>
      <xdr:colOff>19050</xdr:colOff>
      <xdr:row>18</xdr:row>
      <xdr:rowOff>28575</xdr:rowOff>
    </xdr:to>
    <xdr:graphicFrame macro="">
      <xdr:nvGraphicFramePr>
        <xdr:cNvPr id="50183" name="Chart 3">
          <a:extLst>
            <a:ext uri="{FF2B5EF4-FFF2-40B4-BE49-F238E27FC236}">
              <a16:creationId xmlns:a16="http://schemas.microsoft.com/office/drawing/2014/main" id="{FE45CFAB-62B4-1C34-D3E5-B6608BE83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722CD8E-2366-AD70-61BB-5D130EC6DC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var.astro.cz/oejv/issues/oejv0142.pdf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E45"/>
  <sheetViews>
    <sheetView tabSelected="1" workbookViewId="0">
      <pane xSplit="13" ySplit="22" topLeftCell="N32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6.5703125" customWidth="1"/>
    <col min="2" max="2" width="5.140625" customWidth="1"/>
    <col min="3" max="3" width="11.85546875" customWidth="1"/>
    <col min="4" max="4" width="9.42578125" customWidth="1"/>
    <col min="5" max="5" width="10.5703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63" t="s">
        <v>127</v>
      </c>
    </row>
    <row r="2" spans="1:6">
      <c r="A2" t="s">
        <v>30</v>
      </c>
      <c r="B2" s="15" t="s">
        <v>44</v>
      </c>
    </row>
    <row r="4" spans="1:6" ht="14.25" thickTop="1" thickBot="1">
      <c r="A4" s="8" t="s">
        <v>3</v>
      </c>
      <c r="C4" s="3">
        <v>28753.476999999999</v>
      </c>
      <c r="D4" s="4">
        <v>6.7517149999999999</v>
      </c>
    </row>
    <row r="5" spans="1:6" ht="13.5" thickTop="1">
      <c r="A5" s="16" t="s">
        <v>46</v>
      </c>
      <c r="B5" s="14"/>
      <c r="C5" s="17">
        <v>-9.5</v>
      </c>
      <c r="D5" s="14" t="s">
        <v>47</v>
      </c>
    </row>
    <row r="6" spans="1:6">
      <c r="A6" s="8" t="s">
        <v>4</v>
      </c>
    </row>
    <row r="7" spans="1:6">
      <c r="A7" t="s">
        <v>5</v>
      </c>
      <c r="C7">
        <f>+C4</f>
        <v>28753.476999999999</v>
      </c>
    </row>
    <row r="8" spans="1:6">
      <c r="A8" t="s">
        <v>6</v>
      </c>
      <c r="C8">
        <f>+D4</f>
        <v>6.7517149999999999</v>
      </c>
    </row>
    <row r="9" spans="1:6">
      <c r="A9" s="29" t="s">
        <v>51</v>
      </c>
      <c r="B9" s="30">
        <v>21</v>
      </c>
      <c r="C9" s="19" t="str">
        <f>"F"&amp;B9</f>
        <v>F21</v>
      </c>
      <c r="D9" s="12" t="str">
        <f>"G"&amp;B9</f>
        <v>G21</v>
      </c>
    </row>
    <row r="10" spans="1:6" ht="13.5" thickBot="1">
      <c r="A10" s="14"/>
      <c r="B10" s="14"/>
      <c r="C10" s="7" t="s">
        <v>25</v>
      </c>
      <c r="D10" s="7" t="s">
        <v>26</v>
      </c>
      <c r="E10" s="14"/>
    </row>
    <row r="11" spans="1:6">
      <c r="A11" s="14" t="s">
        <v>19</v>
      </c>
      <c r="B11" s="14"/>
      <c r="C11" s="18">
        <f ca="1">INTERCEPT(INDIRECT($D$9):G992,INDIRECT($C$9):F992)</f>
        <v>8.4070471731717333E-2</v>
      </c>
      <c r="D11" s="6"/>
      <c r="E11" s="14"/>
    </row>
    <row r="12" spans="1:6">
      <c r="A12" s="14" t="s">
        <v>20</v>
      </c>
      <c r="B12" s="14"/>
      <c r="C12" s="18">
        <f ca="1">SLOPE(INDIRECT($D$9):G992,INDIRECT($C$9):F992)</f>
        <v>-6.8975786399868362E-4</v>
      </c>
      <c r="D12" s="6"/>
      <c r="E12" s="14"/>
    </row>
    <row r="13" spans="1:6">
      <c r="A13" s="14" t="s">
        <v>24</v>
      </c>
      <c r="B13" s="14"/>
      <c r="C13" s="6" t="s">
        <v>17</v>
      </c>
    </row>
    <row r="14" spans="1:6">
      <c r="A14" s="14"/>
      <c r="B14" s="14"/>
      <c r="C14" s="14"/>
    </row>
    <row r="15" spans="1:6">
      <c r="A15" s="20" t="s">
        <v>21</v>
      </c>
      <c r="B15" s="14"/>
      <c r="C15" s="21">
        <f ca="1">(C7+C11)+(C8+C12)*INT(MAX(F21:F3533))</f>
        <v>59828.530260023748</v>
      </c>
      <c r="E15" s="22" t="s">
        <v>53</v>
      </c>
      <c r="F15" s="17">
        <v>1</v>
      </c>
    </row>
    <row r="16" spans="1:6">
      <c r="A16" s="24" t="s">
        <v>7</v>
      </c>
      <c r="B16" s="14"/>
      <c r="C16" s="25">
        <f ca="1">+C8+C12</f>
        <v>6.7510252421360013</v>
      </c>
      <c r="E16" s="22" t="s">
        <v>48</v>
      </c>
      <c r="F16" s="23">
        <f ca="1">NOW()+15018.5+$C$5/24</f>
        <v>60163.516284375</v>
      </c>
    </row>
    <row r="17" spans="1:31" ht="13.5" thickBot="1">
      <c r="A17" s="22" t="s">
        <v>45</v>
      </c>
      <c r="B17" s="14"/>
      <c r="C17" s="14">
        <f>COUNT(C21:C2191)</f>
        <v>20</v>
      </c>
      <c r="E17" s="22" t="s">
        <v>54</v>
      </c>
      <c r="F17" s="23">
        <f ca="1">ROUND(2*(F16-$C$7)/$C$8,0)/2+F15</f>
        <v>4653</v>
      </c>
    </row>
    <row r="18" spans="1:31" ht="14.25" thickTop="1" thickBot="1">
      <c r="A18" s="24" t="s">
        <v>8</v>
      </c>
      <c r="B18" s="14"/>
      <c r="C18" s="27">
        <f ca="1">+C15</f>
        <v>59828.530260023748</v>
      </c>
      <c r="D18" s="28">
        <f ca="1">+C16</f>
        <v>6.7510252421360013</v>
      </c>
      <c r="E18" s="22" t="s">
        <v>49</v>
      </c>
      <c r="F18" s="12">
        <f ca="1">ROUND(2*(F16-$C$15)/$C$16,0)/2+F15</f>
        <v>50.5</v>
      </c>
    </row>
    <row r="19" spans="1:31" ht="13.5" thickTop="1">
      <c r="E19" s="22" t="s">
        <v>50</v>
      </c>
      <c r="F19" s="26">
        <f ca="1">+$C$15+$C$16*F18-15018.5-$C$5/24</f>
        <v>45151.352868084949</v>
      </c>
    </row>
    <row r="20" spans="1:31" ht="13.5" thickBot="1">
      <c r="A20" s="7" t="s">
        <v>9</v>
      </c>
      <c r="B20" s="7" t="s">
        <v>10</v>
      </c>
      <c r="C20" s="7" t="s">
        <v>11</v>
      </c>
      <c r="D20" s="7" t="s">
        <v>16</v>
      </c>
      <c r="E20" s="7" t="s">
        <v>12</v>
      </c>
      <c r="F20" s="7" t="s">
        <v>13</v>
      </c>
      <c r="G20" s="7" t="s">
        <v>14</v>
      </c>
      <c r="H20" s="10" t="s">
        <v>62</v>
      </c>
      <c r="I20" s="10" t="s">
        <v>65</v>
      </c>
      <c r="J20" s="10" t="s">
        <v>59</v>
      </c>
      <c r="K20" s="10" t="s">
        <v>57</v>
      </c>
      <c r="L20" s="10" t="s">
        <v>123</v>
      </c>
      <c r="M20" s="10" t="s">
        <v>124</v>
      </c>
      <c r="N20" s="10" t="s">
        <v>125</v>
      </c>
      <c r="O20" s="10" t="s">
        <v>28</v>
      </c>
      <c r="P20" s="9" t="s">
        <v>27</v>
      </c>
      <c r="Q20" s="7" t="s">
        <v>18</v>
      </c>
    </row>
    <row r="21" spans="1:31">
      <c r="A21" s="12" t="s">
        <v>71</v>
      </c>
      <c r="B21" s="6" t="s">
        <v>43</v>
      </c>
      <c r="C21" s="37">
        <v>28753.463</v>
      </c>
      <c r="D21" s="37" t="s">
        <v>65</v>
      </c>
      <c r="E21" s="31">
        <f t="shared" ref="E21:E36" si="0">+(C21-C$7)/C$8</f>
        <v>-2.073547239362769E-3</v>
      </c>
      <c r="F21" s="31">
        <f>ROUND(2*E21,0)/2</f>
        <v>0</v>
      </c>
      <c r="G21" s="31">
        <f t="shared" ref="G21:G36" si="1">+C21-(C$7+F21*C$8)</f>
        <v>-1.3999999999214197E-2</v>
      </c>
      <c r="H21" s="31">
        <f>G21</f>
        <v>-1.3999999999214197E-2</v>
      </c>
      <c r="I21" s="31"/>
      <c r="K21" s="31"/>
      <c r="L21" s="31"/>
      <c r="M21" s="31"/>
      <c r="N21" s="31"/>
      <c r="O21" s="31">
        <f t="shared" ref="O21:O36" ca="1" si="2">+C$11+C$12*F21</f>
        <v>8.4070471731717333E-2</v>
      </c>
      <c r="P21" s="31"/>
      <c r="Q21" s="32">
        <f t="shared" ref="Q21:Q36" si="3">+C21-15018.5</f>
        <v>13734.963</v>
      </c>
    </row>
    <row r="22" spans="1:31">
      <c r="A22" s="31" t="s">
        <v>15</v>
      </c>
      <c r="B22" s="31"/>
      <c r="C22" s="36">
        <v>28753.476999999999</v>
      </c>
      <c r="D22" s="36" t="s">
        <v>17</v>
      </c>
      <c r="E22" s="31">
        <f t="shared" si="0"/>
        <v>0</v>
      </c>
      <c r="F22" s="31">
        <f>ROUND(2*E22,0)/2</f>
        <v>0</v>
      </c>
      <c r="G22" s="31">
        <f t="shared" si="1"/>
        <v>0</v>
      </c>
      <c r="H22" s="31">
        <f>+G22</f>
        <v>0</v>
      </c>
      <c r="I22" s="31"/>
      <c r="J22" s="31"/>
      <c r="K22" s="31"/>
      <c r="L22" s="31"/>
      <c r="M22" s="31"/>
      <c r="N22" s="31"/>
      <c r="O22" s="31">
        <f t="shared" ca="1" si="2"/>
        <v>8.4070471731717333E-2</v>
      </c>
      <c r="P22" s="31"/>
      <c r="Q22" s="32">
        <f t="shared" si="3"/>
        <v>13734.976999999999</v>
      </c>
      <c r="AA22">
        <v>81</v>
      </c>
      <c r="AC22" t="s">
        <v>36</v>
      </c>
      <c r="AE22" t="s">
        <v>38</v>
      </c>
    </row>
    <row r="23" spans="1:31">
      <c r="A23" s="12" t="s">
        <v>71</v>
      </c>
      <c r="B23" s="6" t="s">
        <v>43</v>
      </c>
      <c r="C23" s="37">
        <v>29023.556</v>
      </c>
      <c r="D23" s="37" t="s">
        <v>65</v>
      </c>
      <c r="E23" s="31">
        <f t="shared" si="0"/>
        <v>40.001540349378125</v>
      </c>
      <c r="F23" s="31">
        <f t="shared" ref="F23:F31" si="4">ROUND(2*E23,0)/2</f>
        <v>40</v>
      </c>
      <c r="G23" s="31">
        <f t="shared" si="1"/>
        <v>1.0400000002846355E-2</v>
      </c>
      <c r="H23" s="31">
        <f t="shared" ref="H23:H31" si="5">G23</f>
        <v>1.0400000002846355E-2</v>
      </c>
      <c r="I23" s="31"/>
      <c r="K23" s="31"/>
      <c r="L23" s="31"/>
      <c r="M23" s="31"/>
      <c r="N23" s="31"/>
      <c r="O23" s="31">
        <f t="shared" ca="1" si="2"/>
        <v>5.648015717176999E-2</v>
      </c>
      <c r="P23" s="31"/>
      <c r="Q23" s="32">
        <f t="shared" si="3"/>
        <v>14005.056</v>
      </c>
      <c r="AA23">
        <v>45</v>
      </c>
      <c r="AC23" t="s">
        <v>36</v>
      </c>
      <c r="AE23" t="s">
        <v>38</v>
      </c>
    </row>
    <row r="24" spans="1:31">
      <c r="A24" s="12" t="s">
        <v>71</v>
      </c>
      <c r="B24" s="6" t="s">
        <v>43</v>
      </c>
      <c r="C24" s="37">
        <v>29050.506000000001</v>
      </c>
      <c r="D24" s="37" t="s">
        <v>65</v>
      </c>
      <c r="E24" s="31">
        <f t="shared" si="0"/>
        <v>43.993118785375607</v>
      </c>
      <c r="F24" s="31">
        <f t="shared" si="4"/>
        <v>44</v>
      </c>
      <c r="G24" s="31">
        <f t="shared" si="1"/>
        <v>-4.6459999997750856E-2</v>
      </c>
      <c r="H24" s="31">
        <f t="shared" si="5"/>
        <v>-4.6459999997750856E-2</v>
      </c>
      <c r="I24" s="31"/>
      <c r="K24" s="31"/>
      <c r="L24" s="31"/>
      <c r="M24" s="31"/>
      <c r="N24" s="31"/>
      <c r="O24" s="31">
        <f t="shared" ca="1" si="2"/>
        <v>5.3721125715775253E-2</v>
      </c>
      <c r="P24" s="31"/>
      <c r="Q24" s="32">
        <f t="shared" si="3"/>
        <v>14032.006000000001</v>
      </c>
      <c r="AA24">
        <v>39</v>
      </c>
      <c r="AC24" t="s">
        <v>36</v>
      </c>
      <c r="AE24" t="s">
        <v>38</v>
      </c>
    </row>
    <row r="25" spans="1:31">
      <c r="A25" s="12" t="s">
        <v>71</v>
      </c>
      <c r="B25" s="6" t="s">
        <v>43</v>
      </c>
      <c r="C25" s="37">
        <v>29077.457999999999</v>
      </c>
      <c r="D25" s="37" t="s">
        <v>65</v>
      </c>
      <c r="E25" s="31">
        <f t="shared" si="0"/>
        <v>47.984993442406818</v>
      </c>
      <c r="F25" s="31">
        <f t="shared" si="4"/>
        <v>48</v>
      </c>
      <c r="G25" s="31">
        <f t="shared" si="1"/>
        <v>-0.10132000000157859</v>
      </c>
      <c r="H25" s="31">
        <f t="shared" si="5"/>
        <v>-0.10132000000157859</v>
      </c>
      <c r="I25" s="31"/>
      <c r="K25" s="31"/>
      <c r="L25" s="31"/>
      <c r="M25" s="31"/>
      <c r="N25" s="31"/>
      <c r="O25" s="31">
        <f t="shared" ca="1" si="2"/>
        <v>5.0962094259780516E-2</v>
      </c>
      <c r="P25" s="31"/>
      <c r="Q25" s="32">
        <f t="shared" si="3"/>
        <v>14058.957999999999</v>
      </c>
    </row>
    <row r="26" spans="1:31">
      <c r="A26" s="12" t="s">
        <v>71</v>
      </c>
      <c r="B26" s="6" t="s">
        <v>43</v>
      </c>
      <c r="C26" s="37">
        <v>29111.421999999999</v>
      </c>
      <c r="D26" s="37" t="s">
        <v>65</v>
      </c>
      <c r="E26" s="31">
        <f t="shared" si="0"/>
        <v>53.01541904538324</v>
      </c>
      <c r="F26" s="31">
        <f t="shared" si="4"/>
        <v>53</v>
      </c>
      <c r="G26" s="31">
        <f t="shared" si="1"/>
        <v>0.10410499999852618</v>
      </c>
      <c r="H26" s="31">
        <f t="shared" si="5"/>
        <v>0.10410499999852618</v>
      </c>
      <c r="I26" s="31"/>
      <c r="K26" s="31"/>
      <c r="L26" s="31"/>
      <c r="M26" s="31"/>
      <c r="N26" s="31"/>
      <c r="O26" s="31">
        <f t="shared" ca="1" si="2"/>
        <v>4.7513304939787102E-2</v>
      </c>
      <c r="P26" s="31"/>
      <c r="Q26" s="32">
        <f t="shared" si="3"/>
        <v>14092.921999999999</v>
      </c>
    </row>
    <row r="27" spans="1:31">
      <c r="A27" s="12" t="s">
        <v>71</v>
      </c>
      <c r="B27" s="6" t="s">
        <v>43</v>
      </c>
      <c r="C27" s="37">
        <v>30164.463</v>
      </c>
      <c r="D27" s="37" t="s">
        <v>65</v>
      </c>
      <c r="E27" s="31">
        <f t="shared" si="0"/>
        <v>208.9818660888383</v>
      </c>
      <c r="F27" s="31">
        <f t="shared" si="4"/>
        <v>209</v>
      </c>
      <c r="G27" s="31">
        <f t="shared" si="1"/>
        <v>-0.12243499999749474</v>
      </c>
      <c r="H27" s="31">
        <f t="shared" si="5"/>
        <v>-0.12243499999749474</v>
      </c>
      <c r="I27" s="31"/>
      <c r="K27" s="31"/>
      <c r="L27" s="31"/>
      <c r="M27" s="31"/>
      <c r="N27" s="31"/>
      <c r="O27" s="31">
        <f t="shared" ca="1" si="2"/>
        <v>-6.0088921844007548E-2</v>
      </c>
      <c r="P27" s="31"/>
      <c r="Q27" s="32">
        <f t="shared" si="3"/>
        <v>15145.963</v>
      </c>
    </row>
    <row r="28" spans="1:31">
      <c r="A28" s="12" t="s">
        <v>71</v>
      </c>
      <c r="B28" s="6" t="s">
        <v>43</v>
      </c>
      <c r="C28" s="37">
        <v>30603.350999999999</v>
      </c>
      <c r="D28" s="37" t="s">
        <v>65</v>
      </c>
      <c r="E28" s="31">
        <f t="shared" si="0"/>
        <v>273.9857947203044</v>
      </c>
      <c r="F28" s="31">
        <f t="shared" si="4"/>
        <v>274</v>
      </c>
      <c r="G28" s="31">
        <f t="shared" si="1"/>
        <v>-9.5910000000003492E-2</v>
      </c>
      <c r="H28" s="31">
        <f t="shared" si="5"/>
        <v>-9.5910000000003492E-2</v>
      </c>
      <c r="I28" s="31"/>
      <c r="K28" s="31"/>
      <c r="L28" s="31"/>
      <c r="M28" s="31"/>
      <c r="N28" s="31"/>
      <c r="O28" s="31">
        <f t="shared" ca="1" si="2"/>
        <v>-0.10492318300392198</v>
      </c>
      <c r="P28" s="31"/>
      <c r="Q28" s="32">
        <f t="shared" si="3"/>
        <v>15584.850999999999</v>
      </c>
    </row>
    <row r="29" spans="1:31">
      <c r="A29" s="12" t="s">
        <v>71</v>
      </c>
      <c r="B29" s="6" t="s">
        <v>43</v>
      </c>
      <c r="C29" s="37">
        <v>30819.597000000002</v>
      </c>
      <c r="D29" s="37" t="s">
        <v>65</v>
      </c>
      <c r="E29" s="31">
        <f t="shared" si="0"/>
        <v>306.01410160233399</v>
      </c>
      <c r="F29" s="31">
        <f t="shared" si="4"/>
        <v>306</v>
      </c>
      <c r="G29" s="31">
        <f t="shared" si="1"/>
        <v>9.5210000003135065E-2</v>
      </c>
      <c r="H29" s="31">
        <f t="shared" si="5"/>
        <v>9.5210000003135065E-2</v>
      </c>
      <c r="I29" s="31"/>
      <c r="K29" s="31"/>
      <c r="L29" s="31"/>
      <c r="M29" s="31"/>
      <c r="N29" s="31"/>
      <c r="O29" s="31">
        <f t="shared" ca="1" si="2"/>
        <v>-0.12699543465187985</v>
      </c>
      <c r="P29" s="31"/>
      <c r="Q29" s="32">
        <f t="shared" si="3"/>
        <v>15801.097000000002</v>
      </c>
    </row>
    <row r="30" spans="1:31">
      <c r="A30" s="12" t="s">
        <v>71</v>
      </c>
      <c r="B30" s="6" t="s">
        <v>43</v>
      </c>
      <c r="C30" s="37">
        <v>30900.460999999999</v>
      </c>
      <c r="D30" s="37" t="s">
        <v>65</v>
      </c>
      <c r="E30" s="31">
        <f t="shared" si="0"/>
        <v>317.99091045756529</v>
      </c>
      <c r="F30" s="31">
        <f t="shared" si="4"/>
        <v>318</v>
      </c>
      <c r="G30" s="31">
        <f t="shared" si="1"/>
        <v>-6.1369999999442371E-2</v>
      </c>
      <c r="H30" s="31">
        <f t="shared" si="5"/>
        <v>-6.1369999999442371E-2</v>
      </c>
      <c r="I30" s="31"/>
      <c r="K30" s="31"/>
      <c r="L30" s="31"/>
      <c r="M30" s="31"/>
      <c r="N30" s="31"/>
      <c r="O30" s="31">
        <f t="shared" ca="1" si="2"/>
        <v>-0.13527252901986406</v>
      </c>
      <c r="P30" s="31"/>
      <c r="Q30" s="32">
        <f t="shared" si="3"/>
        <v>15881.960999999999</v>
      </c>
    </row>
    <row r="31" spans="1:31">
      <c r="A31" s="12" t="s">
        <v>71</v>
      </c>
      <c r="B31" s="6" t="s">
        <v>43</v>
      </c>
      <c r="C31" s="37">
        <v>31312.397000000001</v>
      </c>
      <c r="D31" s="37" t="s">
        <v>65</v>
      </c>
      <c r="E31" s="31">
        <f t="shared" si="0"/>
        <v>379.00296443200017</v>
      </c>
      <c r="F31" s="31">
        <f t="shared" si="4"/>
        <v>379</v>
      </c>
      <c r="G31" s="31">
        <f t="shared" si="1"/>
        <v>2.0015000001876615E-2</v>
      </c>
      <c r="H31" s="31">
        <f t="shared" si="5"/>
        <v>2.0015000001876615E-2</v>
      </c>
      <c r="I31" s="31"/>
      <c r="K31" s="31"/>
      <c r="L31" s="31"/>
      <c r="M31" s="31"/>
      <c r="N31" s="31"/>
      <c r="O31" s="31">
        <f t="shared" ca="1" si="2"/>
        <v>-0.17734775872378378</v>
      </c>
      <c r="P31" s="31"/>
      <c r="Q31" s="32">
        <f t="shared" si="3"/>
        <v>16293.897000000001</v>
      </c>
    </row>
    <row r="32" spans="1:31">
      <c r="A32" s="31" t="s">
        <v>37</v>
      </c>
      <c r="B32" s="31"/>
      <c r="C32" s="36">
        <v>49229.428999999996</v>
      </c>
      <c r="D32" s="36">
        <v>8.0000000000000002E-3</v>
      </c>
      <c r="E32" s="31">
        <f t="shared" si="0"/>
        <v>3032.7038389505478</v>
      </c>
      <c r="F32" s="33">
        <f t="shared" ref="F32:F39" si="6">ROUND(2*E32,0)/2+0.5</f>
        <v>3033</v>
      </c>
      <c r="G32" s="31">
        <f t="shared" si="1"/>
        <v>-1.9995950000011362</v>
      </c>
      <c r="H32" s="31"/>
      <c r="I32" s="31">
        <f>G32</f>
        <v>-1.9995950000011362</v>
      </c>
      <c r="J32" s="31"/>
      <c r="K32" s="31"/>
      <c r="L32" s="31"/>
      <c r="M32" s="31"/>
      <c r="N32" s="31"/>
      <c r="O32" s="31">
        <f t="shared" ca="1" si="2"/>
        <v>-2.0079651297762902</v>
      </c>
      <c r="P32" s="31"/>
      <c r="Q32" s="32">
        <f t="shared" si="3"/>
        <v>34210.928999999996</v>
      </c>
    </row>
    <row r="33" spans="1:17">
      <c r="A33" s="31" t="s">
        <v>39</v>
      </c>
      <c r="B33" s="31"/>
      <c r="C33" s="36">
        <v>49580.495000000003</v>
      </c>
      <c r="D33" s="36">
        <v>0.01</v>
      </c>
      <c r="E33" s="31">
        <f t="shared" si="0"/>
        <v>3084.700405748762</v>
      </c>
      <c r="F33" s="33">
        <f t="shared" si="6"/>
        <v>3085</v>
      </c>
      <c r="G33" s="31">
        <f t="shared" si="1"/>
        <v>-2.0227749999976368</v>
      </c>
      <c r="H33" s="31"/>
      <c r="I33" s="31">
        <f>G33</f>
        <v>-2.0227749999976368</v>
      </c>
      <c r="J33" s="31"/>
      <c r="K33" s="31"/>
      <c r="L33" s="31"/>
      <c r="M33" s="31"/>
      <c r="N33" s="31"/>
      <c r="O33" s="31">
        <f t="shared" ca="1" si="2"/>
        <v>-2.0438325387042218</v>
      </c>
      <c r="P33" s="31"/>
      <c r="Q33" s="32">
        <f t="shared" si="3"/>
        <v>34561.995000000003</v>
      </c>
    </row>
    <row r="34" spans="1:17">
      <c r="A34" s="31" t="s">
        <v>40</v>
      </c>
      <c r="B34" s="31"/>
      <c r="C34" s="36">
        <v>50343.366000000002</v>
      </c>
      <c r="D34" s="36">
        <v>1.4999999999999999E-2</v>
      </c>
      <c r="E34" s="31">
        <f t="shared" si="0"/>
        <v>3197.6896240436695</v>
      </c>
      <c r="F34" s="33">
        <f t="shared" si="6"/>
        <v>3198</v>
      </c>
      <c r="G34" s="31">
        <f t="shared" si="1"/>
        <v>-2.0955699999976787</v>
      </c>
      <c r="H34" s="31"/>
      <c r="I34" s="31">
        <f>G34</f>
        <v>-2.0955699999976787</v>
      </c>
      <c r="J34" s="31"/>
      <c r="K34" s="31"/>
      <c r="L34" s="31"/>
      <c r="M34" s="31"/>
      <c r="N34" s="31"/>
      <c r="O34" s="31">
        <f t="shared" ca="1" si="2"/>
        <v>-2.1217751773360729</v>
      </c>
      <c r="P34" s="31"/>
      <c r="Q34" s="32">
        <f t="shared" si="3"/>
        <v>35324.866000000002</v>
      </c>
    </row>
    <row r="35" spans="1:17">
      <c r="A35" s="34" t="s">
        <v>42</v>
      </c>
      <c r="B35" s="35" t="s">
        <v>43</v>
      </c>
      <c r="C35" s="36">
        <v>52861.47</v>
      </c>
      <c r="D35" s="36">
        <v>0.01</v>
      </c>
      <c r="E35" s="31">
        <f t="shared" si="0"/>
        <v>3570.6473096094846</v>
      </c>
      <c r="F35" s="33">
        <f t="shared" si="6"/>
        <v>3571</v>
      </c>
      <c r="G35" s="31">
        <f t="shared" si="1"/>
        <v>-2.3812649999963469</v>
      </c>
      <c r="H35" s="31"/>
      <c r="I35" s="31">
        <f>G35</f>
        <v>-2.3812649999963469</v>
      </c>
      <c r="K35" s="31"/>
      <c r="L35" s="31"/>
      <c r="M35" s="31"/>
      <c r="N35" s="31"/>
      <c r="O35" s="31">
        <f t="shared" ca="1" si="2"/>
        <v>-2.3790548606075821</v>
      </c>
      <c r="P35" s="31"/>
      <c r="Q35" s="32">
        <f t="shared" si="3"/>
        <v>37842.97</v>
      </c>
    </row>
    <row r="36" spans="1:17">
      <c r="A36" s="38" t="s">
        <v>52</v>
      </c>
      <c r="B36" s="39" t="s">
        <v>43</v>
      </c>
      <c r="C36" s="38">
        <v>55791.423000000003</v>
      </c>
      <c r="D36" s="38">
        <v>6.0000000000000001E-3</v>
      </c>
      <c r="E36" s="31">
        <f t="shared" si="0"/>
        <v>4004.6041635347469</v>
      </c>
      <c r="F36" s="33">
        <f t="shared" si="6"/>
        <v>4005</v>
      </c>
      <c r="G36" s="31">
        <f t="shared" si="1"/>
        <v>-2.6725749999968684</v>
      </c>
      <c r="H36" s="31"/>
      <c r="I36" s="31">
        <f>G36</f>
        <v>-2.6725749999968684</v>
      </c>
      <c r="K36" s="31"/>
      <c r="L36" s="31"/>
      <c r="M36" s="31"/>
      <c r="N36" s="31"/>
      <c r="O36" s="31">
        <f t="shared" ca="1" si="2"/>
        <v>-2.6784097735830104</v>
      </c>
      <c r="P36" s="31"/>
      <c r="Q36" s="32">
        <f t="shared" si="3"/>
        <v>40772.923000000003</v>
      </c>
    </row>
    <row r="37" spans="1:17">
      <c r="A37" s="53" t="s">
        <v>2</v>
      </c>
      <c r="B37" s="54" t="s">
        <v>43</v>
      </c>
      <c r="C37" s="55">
        <v>57256.375899999999</v>
      </c>
      <c r="D37" s="55" t="s">
        <v>0</v>
      </c>
      <c r="E37" s="31">
        <f>+(C37-C$7)/C$8</f>
        <v>4221.5790950891733</v>
      </c>
      <c r="F37" s="33">
        <f t="shared" si="6"/>
        <v>4222</v>
      </c>
      <c r="G37" s="31">
        <f>+C37-(C$7+F37*C$8)</f>
        <v>-2.8418300000048475</v>
      </c>
      <c r="H37" s="31"/>
      <c r="K37" s="31">
        <f>G37</f>
        <v>-2.8418300000048475</v>
      </c>
      <c r="L37" s="31"/>
      <c r="M37" s="31"/>
      <c r="N37" s="31"/>
      <c r="O37" s="31">
        <f ca="1">+C$11+C$12*F37</f>
        <v>-2.8280872300707247</v>
      </c>
      <c r="P37" s="31"/>
      <c r="Q37" s="32">
        <f>+C37-15018.5</f>
        <v>42237.875899999999</v>
      </c>
    </row>
    <row r="38" spans="1:17" ht="12" customHeight="1">
      <c r="A38" s="53" t="s">
        <v>2</v>
      </c>
      <c r="B38" s="54" t="s">
        <v>43</v>
      </c>
      <c r="C38" s="55">
        <v>57580.4228</v>
      </c>
      <c r="D38" s="55" t="s">
        <v>1</v>
      </c>
      <c r="E38" s="31">
        <f>+(C38-C$7)/C$8</f>
        <v>4269.5738490146578</v>
      </c>
      <c r="F38" s="33">
        <f t="shared" si="6"/>
        <v>4270</v>
      </c>
      <c r="G38" s="31">
        <f>+C38-(C$7+F38*C$8)</f>
        <v>-2.8772499999977299</v>
      </c>
      <c r="H38" s="31"/>
      <c r="K38" s="31">
        <f>G38</f>
        <v>-2.8772499999977299</v>
      </c>
      <c r="L38" s="31"/>
      <c r="M38" s="31"/>
      <c r="N38" s="31"/>
      <c r="O38" s="31">
        <f ca="1">+C$11+C$12*F38</f>
        <v>-2.8611956075426619</v>
      </c>
      <c r="P38" s="31"/>
      <c r="Q38" s="32">
        <f>+C38-15018.5</f>
        <v>42561.9228</v>
      </c>
    </row>
    <row r="39" spans="1:17" ht="12" customHeight="1">
      <c r="A39" s="56" t="s">
        <v>126</v>
      </c>
      <c r="B39" s="57" t="s">
        <v>43</v>
      </c>
      <c r="C39" s="58">
        <v>59423.448199999999</v>
      </c>
      <c r="D39" s="58">
        <v>4.0000000000000002E-4</v>
      </c>
      <c r="E39" s="31">
        <f>+(C39-C$7)/C$8</f>
        <v>4542.5452940475125</v>
      </c>
      <c r="F39" s="33">
        <f t="shared" si="6"/>
        <v>4543</v>
      </c>
      <c r="G39" s="31">
        <f>+C39-(C$7+F39*C$8)</f>
        <v>-3.0700450000003912</v>
      </c>
      <c r="H39" s="31"/>
      <c r="K39" s="31">
        <f>G39</f>
        <v>-3.0700450000003912</v>
      </c>
      <c r="L39" s="31"/>
      <c r="M39" s="31"/>
      <c r="N39" s="31"/>
      <c r="O39" s="31">
        <f ca="1">+C$11+C$12*F39</f>
        <v>-3.0494995044143023</v>
      </c>
      <c r="P39" s="31"/>
      <c r="Q39" s="32">
        <f>+C39-15018.5</f>
        <v>44404.948199999999</v>
      </c>
    </row>
    <row r="40" spans="1:17" ht="12" customHeight="1">
      <c r="A40" s="59" t="s">
        <v>128</v>
      </c>
      <c r="B40" s="60" t="s">
        <v>43</v>
      </c>
      <c r="C40" s="61">
        <v>59828.505299999997</v>
      </c>
      <c r="D40" s="62">
        <v>2.0000000000000001E-4</v>
      </c>
      <c r="E40" s="31">
        <f>+(C40-C$7)/C$8</f>
        <v>4602.5385105858286</v>
      </c>
      <c r="F40" s="33">
        <f t="shared" ref="F40" si="7">ROUND(2*E40,0)/2+0.5</f>
        <v>4603</v>
      </c>
      <c r="G40" s="31">
        <f>+C40-(C$7+F40*C$8)</f>
        <v>-3.1158450000002631</v>
      </c>
      <c r="H40" s="31"/>
      <c r="K40" s="31">
        <f>G40</f>
        <v>-3.1158450000002631</v>
      </c>
      <c r="L40" s="31"/>
      <c r="M40" s="31"/>
      <c r="N40" s="31"/>
      <c r="O40" s="31">
        <f ca="1">+C$11+C$12*F40</f>
        <v>-3.0908849762542232</v>
      </c>
      <c r="P40" s="31"/>
      <c r="Q40" s="32">
        <f>+C40-15018.5</f>
        <v>44810.005299999997</v>
      </c>
    </row>
    <row r="41" spans="1:17" ht="12" customHeight="1">
      <c r="D41" s="6"/>
    </row>
    <row r="42" spans="1:17" ht="12" customHeight="1">
      <c r="D42" s="6"/>
    </row>
    <row r="43" spans="1:17" ht="12" customHeight="1">
      <c r="D43" s="6"/>
    </row>
    <row r="44" spans="1:17">
      <c r="D44" s="6"/>
    </row>
    <row r="45" spans="1:17">
      <c r="D45" s="6"/>
    </row>
  </sheetData>
  <phoneticPr fontId="8" type="noConversion"/>
  <hyperlinks>
    <hyperlink ref="H3399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6"/>
  <sheetViews>
    <sheetView workbookViewId="0">
      <selection activeCell="B45" sqref="B45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35</v>
      </c>
      <c r="C1" s="13" t="s">
        <v>41</v>
      </c>
    </row>
    <row r="2" spans="1:4">
      <c r="A2" t="s">
        <v>30</v>
      </c>
    </row>
    <row r="4" spans="1:4">
      <c r="A4" s="8" t="s">
        <v>3</v>
      </c>
      <c r="C4" s="3">
        <v>28753.476999999999</v>
      </c>
      <c r="D4" s="4">
        <v>6.7517149999999999</v>
      </c>
    </row>
    <row r="6" spans="1:4">
      <c r="A6" s="8" t="s">
        <v>4</v>
      </c>
    </row>
    <row r="7" spans="1:4">
      <c r="A7" t="s">
        <v>5</v>
      </c>
      <c r="C7">
        <f>+C4</f>
        <v>28753.476999999999</v>
      </c>
    </row>
    <row r="8" spans="1:4">
      <c r="A8" t="s">
        <v>6</v>
      </c>
      <c r="C8">
        <f>+D4</f>
        <v>6.7517149999999999</v>
      </c>
    </row>
    <row r="10" spans="1:4" ht="13.5" thickBot="1">
      <c r="C10" s="7" t="s">
        <v>25</v>
      </c>
      <c r="D10" s="7" t="s">
        <v>26</v>
      </c>
    </row>
    <row r="11" spans="1:4">
      <c r="A11" t="s">
        <v>19</v>
      </c>
      <c r="C11">
        <f>INTERCEPT(G21:G993,F21:F993)</f>
        <v>4.6767528788954627E-3</v>
      </c>
      <c r="D11" s="6"/>
    </row>
    <row r="12" spans="1:4">
      <c r="A12" t="s">
        <v>20</v>
      </c>
      <c r="C12">
        <f>SLOPE(G21:G993,F21:F993)</f>
        <v>4.2846373809537526E-4</v>
      </c>
      <c r="D12" s="6"/>
    </row>
    <row r="13" spans="1:4">
      <c r="A13" t="s">
        <v>24</v>
      </c>
      <c r="C13" s="6" t="s">
        <v>17</v>
      </c>
      <c r="D13" s="6"/>
    </row>
    <row r="14" spans="1:4">
      <c r="A14" t="s">
        <v>29</v>
      </c>
    </row>
    <row r="15" spans="1:4">
      <c r="A15" s="5" t="s">
        <v>21</v>
      </c>
      <c r="C15" s="11">
        <v>50343.366000000002</v>
      </c>
    </row>
    <row r="16" spans="1:4">
      <c r="A16" s="8" t="s">
        <v>7</v>
      </c>
      <c r="C16">
        <f>+C8+C12</f>
        <v>6.7521434637380953</v>
      </c>
    </row>
    <row r="17" spans="1:31" ht="13.5" thickBot="1"/>
    <row r="18" spans="1:31">
      <c r="A18" s="8" t="s">
        <v>8</v>
      </c>
      <c r="C18" s="3">
        <f>+C15</f>
        <v>50343.366000000002</v>
      </c>
      <c r="D18" s="4">
        <f>+C16</f>
        <v>6.7521434637380953</v>
      </c>
    </row>
    <row r="19" spans="1:31" ht="13.5" thickTop="1"/>
    <row r="20" spans="1:31" ht="13.5" thickBot="1">
      <c r="A20" s="7" t="s">
        <v>9</v>
      </c>
      <c r="B20" s="7" t="s">
        <v>10</v>
      </c>
      <c r="C20" s="7" t="s">
        <v>11</v>
      </c>
      <c r="D20" s="7" t="s">
        <v>16</v>
      </c>
      <c r="E20" s="7" t="s">
        <v>12</v>
      </c>
      <c r="F20" s="7" t="s">
        <v>13</v>
      </c>
      <c r="G20" s="7" t="s">
        <v>14</v>
      </c>
      <c r="H20" s="10" t="s">
        <v>15</v>
      </c>
      <c r="I20" s="10" t="s">
        <v>34</v>
      </c>
      <c r="J20" s="10" t="s">
        <v>22</v>
      </c>
      <c r="K20" s="10" t="s">
        <v>23</v>
      </c>
      <c r="L20" s="10" t="s">
        <v>31</v>
      </c>
      <c r="M20" s="10" t="s">
        <v>32</v>
      </c>
      <c r="N20" s="10" t="s">
        <v>33</v>
      </c>
      <c r="O20" s="10" t="s">
        <v>28</v>
      </c>
      <c r="P20" s="9" t="s">
        <v>27</v>
      </c>
      <c r="Q20" s="7" t="s">
        <v>18</v>
      </c>
    </row>
    <row r="21" spans="1:31">
      <c r="A21" t="s">
        <v>15</v>
      </c>
      <c r="C21">
        <v>28753.476999999999</v>
      </c>
      <c r="D21" s="6" t="s">
        <v>17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+C$11+C$12*F21</f>
        <v>4.6767528788954627E-3</v>
      </c>
      <c r="Q21" s="2">
        <f>+C21-15018.5</f>
        <v>13734.976999999999</v>
      </c>
    </row>
    <row r="22" spans="1:31">
      <c r="A22" t="s">
        <v>37</v>
      </c>
      <c r="C22" s="11">
        <v>49229.428999999996</v>
      </c>
      <c r="D22">
        <v>8.0000000000000002E-3</v>
      </c>
      <c r="E22">
        <f>+(C22-C$7)/C$8</f>
        <v>3032.7038389505478</v>
      </c>
      <c r="F22">
        <f>ROUND(2*E22,0)/2</f>
        <v>3032.5</v>
      </c>
      <c r="G22">
        <f>+C22-(C$7+F22*C$8)</f>
        <v>1.3762625000017579</v>
      </c>
      <c r="I22">
        <f>G22</f>
        <v>1.3762625000017579</v>
      </c>
      <c r="O22">
        <f>+C$11+C$12*F22</f>
        <v>1.3039930386531209</v>
      </c>
      <c r="Q22" s="2">
        <f>+C22-15018.5</f>
        <v>34210.928999999996</v>
      </c>
      <c r="AA22">
        <v>81</v>
      </c>
      <c r="AC22" t="s">
        <v>36</v>
      </c>
      <c r="AE22" t="s">
        <v>38</v>
      </c>
    </row>
    <row r="23" spans="1:31">
      <c r="A23" t="s">
        <v>39</v>
      </c>
      <c r="C23" s="11">
        <v>49580.495000000003</v>
      </c>
      <c r="D23">
        <v>0.01</v>
      </c>
      <c r="E23">
        <f>+(C23-C$7)/C$8</f>
        <v>3084.700405748762</v>
      </c>
      <c r="F23">
        <f>ROUND(2*E23,0)/2</f>
        <v>3084.5</v>
      </c>
      <c r="G23">
        <f>+C23-(C$7+F23*C$8)</f>
        <v>1.3530825000052573</v>
      </c>
      <c r="I23">
        <f>G23</f>
        <v>1.3530825000052573</v>
      </c>
      <c r="O23">
        <f>+C$11+C$12*F23</f>
        <v>1.3262731530340806</v>
      </c>
      <c r="Q23" s="2">
        <f>+C23-15018.5</f>
        <v>34561.995000000003</v>
      </c>
      <c r="AA23">
        <v>45</v>
      </c>
      <c r="AC23" t="s">
        <v>36</v>
      </c>
      <c r="AE23" t="s">
        <v>38</v>
      </c>
    </row>
    <row r="24" spans="1:31">
      <c r="A24" t="s">
        <v>40</v>
      </c>
      <c r="C24" s="11">
        <v>50343.366000000002</v>
      </c>
      <c r="D24">
        <v>1.4999999999999999E-2</v>
      </c>
      <c r="E24">
        <f>+(C24-C$7)/C$8</f>
        <v>3197.6896240436695</v>
      </c>
      <c r="F24">
        <f>ROUND(2*E24,0)/2</f>
        <v>3197.5</v>
      </c>
      <c r="G24">
        <f>+C24-(C$7+F24*C$8)</f>
        <v>1.2802874999979394</v>
      </c>
      <c r="I24">
        <f>G24</f>
        <v>1.2802874999979394</v>
      </c>
      <c r="O24">
        <f>+C$11+C$12*F24</f>
        <v>1.3746895554388581</v>
      </c>
      <c r="Q24" s="2">
        <f>+C24-15018.5</f>
        <v>35324.866000000002</v>
      </c>
      <c r="AA24">
        <v>39</v>
      </c>
      <c r="AC24" t="s">
        <v>36</v>
      </c>
      <c r="AE24" t="s">
        <v>38</v>
      </c>
    </row>
    <row r="25" spans="1:31">
      <c r="C25" s="11"/>
      <c r="Q25" s="2"/>
    </row>
    <row r="26" spans="1:31">
      <c r="D26" s="6"/>
      <c r="Q26" s="2"/>
    </row>
    <row r="27" spans="1:31">
      <c r="D27" s="6"/>
      <c r="Q27" s="2"/>
    </row>
    <row r="28" spans="1:31">
      <c r="D28" s="6"/>
    </row>
    <row r="29" spans="1:31">
      <c r="D29" s="6"/>
    </row>
    <row r="30" spans="1:31">
      <c r="D30" s="6"/>
    </row>
    <row r="31" spans="1:31">
      <c r="D31" s="6"/>
    </row>
    <row r="32" spans="1:31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  <row r="46" spans="4:4">
      <c r="D46" s="6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59"/>
  <sheetViews>
    <sheetView topLeftCell="A4" workbookViewId="0">
      <selection activeCell="A11" sqref="A11:D20"/>
    </sheetView>
  </sheetViews>
  <sheetFormatPr defaultRowHeight="12.75"/>
  <cols>
    <col min="1" max="1" width="19.7109375" style="37" customWidth="1"/>
    <col min="2" max="2" width="4.42578125" style="14" customWidth="1"/>
    <col min="3" max="3" width="12.7109375" style="37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37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>
      <c r="A1" s="40" t="s">
        <v>55</v>
      </c>
      <c r="I1" s="41" t="s">
        <v>56</v>
      </c>
      <c r="J1" s="42" t="s">
        <v>57</v>
      </c>
    </row>
    <row r="2" spans="1:16">
      <c r="I2" s="43" t="s">
        <v>58</v>
      </c>
      <c r="J2" s="44" t="s">
        <v>59</v>
      </c>
    </row>
    <row r="3" spans="1:16">
      <c r="A3" s="45" t="s">
        <v>60</v>
      </c>
      <c r="I3" s="43" t="s">
        <v>61</v>
      </c>
      <c r="J3" s="44" t="s">
        <v>62</v>
      </c>
    </row>
    <row r="4" spans="1:16">
      <c r="I4" s="43" t="s">
        <v>63</v>
      </c>
      <c r="J4" s="44" t="s">
        <v>62</v>
      </c>
    </row>
    <row r="5" spans="1:16" ht="13.5" thickBot="1">
      <c r="I5" s="46" t="s">
        <v>64</v>
      </c>
      <c r="J5" s="47" t="s">
        <v>65</v>
      </c>
    </row>
    <row r="10" spans="1:16" ht="13.5" thickBot="1"/>
    <row r="11" spans="1:16" ht="12.75" customHeight="1" thickBot="1">
      <c r="A11" s="37" t="str">
        <f t="shared" ref="A11:A25" si="0">P11</f>
        <v> VSS 1.241 </v>
      </c>
      <c r="B11" s="6" t="str">
        <f t="shared" ref="B11:B25" si="1">IF(H11=INT(H11),"I","II")</f>
        <v>I</v>
      </c>
      <c r="C11" s="37">
        <f t="shared" ref="C11:C25" si="2">1*G11</f>
        <v>28753.463</v>
      </c>
      <c r="D11" s="14" t="str">
        <f t="shared" ref="D11:D25" si="3">VLOOKUP(F11,I$1:J$5,2,FALSE)</f>
        <v>vis</v>
      </c>
      <c r="E11" s="48">
        <f>VLOOKUP(C11,Active!C$21:E$973,3,FALSE)</f>
        <v>-2.073547239362769E-3</v>
      </c>
      <c r="F11" s="6" t="s">
        <v>64</v>
      </c>
      <c r="G11" s="14" t="str">
        <f t="shared" ref="G11:G25" si="4">MID(I11,3,LEN(I11)-3)</f>
        <v>28753.463</v>
      </c>
      <c r="H11" s="37">
        <f t="shared" ref="H11:H25" si="5">1*K11</f>
        <v>-4005</v>
      </c>
      <c r="I11" s="49" t="s">
        <v>66</v>
      </c>
      <c r="J11" s="50" t="s">
        <v>67</v>
      </c>
      <c r="K11" s="49">
        <v>-4005</v>
      </c>
      <c r="L11" s="49" t="s">
        <v>68</v>
      </c>
      <c r="M11" s="50" t="s">
        <v>69</v>
      </c>
      <c r="N11" s="50"/>
      <c r="O11" s="51" t="s">
        <v>70</v>
      </c>
      <c r="P11" s="51" t="s">
        <v>71</v>
      </c>
    </row>
    <row r="12" spans="1:16" ht="12.75" customHeight="1" thickBot="1">
      <c r="A12" s="37" t="str">
        <f t="shared" si="0"/>
        <v> VSS 1.241 </v>
      </c>
      <c r="B12" s="6" t="str">
        <f t="shared" si="1"/>
        <v>I</v>
      </c>
      <c r="C12" s="37">
        <f t="shared" si="2"/>
        <v>29023.556</v>
      </c>
      <c r="D12" s="14" t="str">
        <f t="shared" si="3"/>
        <v>vis</v>
      </c>
      <c r="E12" s="48">
        <f>VLOOKUP(C12,Active!C$21:E$973,3,FALSE)</f>
        <v>40.001540349378125</v>
      </c>
      <c r="F12" s="6" t="s">
        <v>64</v>
      </c>
      <c r="G12" s="14" t="str">
        <f t="shared" si="4"/>
        <v>29023.556</v>
      </c>
      <c r="H12" s="37">
        <f t="shared" si="5"/>
        <v>-3965</v>
      </c>
      <c r="I12" s="49" t="s">
        <v>72</v>
      </c>
      <c r="J12" s="50" t="s">
        <v>73</v>
      </c>
      <c r="K12" s="49">
        <v>-3965</v>
      </c>
      <c r="L12" s="49" t="s">
        <v>74</v>
      </c>
      <c r="M12" s="50" t="s">
        <v>69</v>
      </c>
      <c r="N12" s="50"/>
      <c r="O12" s="51" t="s">
        <v>70</v>
      </c>
      <c r="P12" s="51" t="s">
        <v>71</v>
      </c>
    </row>
    <row r="13" spans="1:16" ht="12.75" customHeight="1" thickBot="1">
      <c r="A13" s="37" t="str">
        <f t="shared" si="0"/>
        <v> VSS 1.241 </v>
      </c>
      <c r="B13" s="6" t="str">
        <f t="shared" si="1"/>
        <v>I</v>
      </c>
      <c r="C13" s="37">
        <f t="shared" si="2"/>
        <v>29050.506000000001</v>
      </c>
      <c r="D13" s="14" t="str">
        <f t="shared" si="3"/>
        <v>vis</v>
      </c>
      <c r="E13" s="48">
        <f>VLOOKUP(C13,Active!C$21:E$973,3,FALSE)</f>
        <v>43.993118785375607</v>
      </c>
      <c r="F13" s="6" t="s">
        <v>64</v>
      </c>
      <c r="G13" s="14" t="str">
        <f t="shared" si="4"/>
        <v>29050.506</v>
      </c>
      <c r="H13" s="37">
        <f t="shared" si="5"/>
        <v>-3961</v>
      </c>
      <c r="I13" s="49" t="s">
        <v>75</v>
      </c>
      <c r="J13" s="50" t="s">
        <v>76</v>
      </c>
      <c r="K13" s="49">
        <v>-3961</v>
      </c>
      <c r="L13" s="49" t="s">
        <v>77</v>
      </c>
      <c r="M13" s="50" t="s">
        <v>69</v>
      </c>
      <c r="N13" s="50"/>
      <c r="O13" s="51" t="s">
        <v>70</v>
      </c>
      <c r="P13" s="51" t="s">
        <v>71</v>
      </c>
    </row>
    <row r="14" spans="1:16" ht="12.75" customHeight="1" thickBot="1">
      <c r="A14" s="37" t="str">
        <f t="shared" si="0"/>
        <v> VSS 1.241 </v>
      </c>
      <c r="B14" s="6" t="str">
        <f t="shared" si="1"/>
        <v>I</v>
      </c>
      <c r="C14" s="37">
        <f t="shared" si="2"/>
        <v>29077.457999999999</v>
      </c>
      <c r="D14" s="14" t="str">
        <f t="shared" si="3"/>
        <v>vis</v>
      </c>
      <c r="E14" s="48">
        <f>VLOOKUP(C14,Active!C$21:E$973,3,FALSE)</f>
        <v>47.984993442406818</v>
      </c>
      <c r="F14" s="6" t="s">
        <v>64</v>
      </c>
      <c r="G14" s="14" t="str">
        <f t="shared" si="4"/>
        <v>29077.458</v>
      </c>
      <c r="H14" s="37">
        <f t="shared" si="5"/>
        <v>-3957</v>
      </c>
      <c r="I14" s="49" t="s">
        <v>78</v>
      </c>
      <c r="J14" s="50" t="s">
        <v>79</v>
      </c>
      <c r="K14" s="49">
        <v>-3957</v>
      </c>
      <c r="L14" s="49" t="s">
        <v>80</v>
      </c>
      <c r="M14" s="50" t="s">
        <v>69</v>
      </c>
      <c r="N14" s="50"/>
      <c r="O14" s="51" t="s">
        <v>70</v>
      </c>
      <c r="P14" s="51" t="s">
        <v>71</v>
      </c>
    </row>
    <row r="15" spans="1:16" ht="12.75" customHeight="1" thickBot="1">
      <c r="A15" s="37" t="str">
        <f t="shared" si="0"/>
        <v> VSS 1.241 </v>
      </c>
      <c r="B15" s="6" t="str">
        <f t="shared" si="1"/>
        <v>I</v>
      </c>
      <c r="C15" s="37">
        <f t="shared" si="2"/>
        <v>29111.421999999999</v>
      </c>
      <c r="D15" s="14" t="str">
        <f t="shared" si="3"/>
        <v>vis</v>
      </c>
      <c r="E15" s="48">
        <f>VLOOKUP(C15,Active!C$21:E$973,3,FALSE)</f>
        <v>53.01541904538324</v>
      </c>
      <c r="F15" s="6" t="s">
        <v>64</v>
      </c>
      <c r="G15" s="14" t="str">
        <f t="shared" si="4"/>
        <v>29111.422</v>
      </c>
      <c r="H15" s="37">
        <f t="shared" si="5"/>
        <v>-3952</v>
      </c>
      <c r="I15" s="49" t="s">
        <v>81</v>
      </c>
      <c r="J15" s="50" t="s">
        <v>82</v>
      </c>
      <c r="K15" s="49">
        <v>-3952</v>
      </c>
      <c r="L15" s="49" t="s">
        <v>83</v>
      </c>
      <c r="M15" s="50" t="s">
        <v>69</v>
      </c>
      <c r="N15" s="50"/>
      <c r="O15" s="51" t="s">
        <v>70</v>
      </c>
      <c r="P15" s="51" t="s">
        <v>71</v>
      </c>
    </row>
    <row r="16" spans="1:16" ht="12.75" customHeight="1" thickBot="1">
      <c r="A16" s="37" t="str">
        <f t="shared" si="0"/>
        <v> VSS 1.241 </v>
      </c>
      <c r="B16" s="6" t="str">
        <f t="shared" si="1"/>
        <v>I</v>
      </c>
      <c r="C16" s="37">
        <f t="shared" si="2"/>
        <v>30164.463</v>
      </c>
      <c r="D16" s="14" t="str">
        <f t="shared" si="3"/>
        <v>vis</v>
      </c>
      <c r="E16" s="48">
        <f>VLOOKUP(C16,Active!C$21:E$973,3,FALSE)</f>
        <v>208.9818660888383</v>
      </c>
      <c r="F16" s="6" t="s">
        <v>64</v>
      </c>
      <c r="G16" s="14" t="str">
        <f t="shared" si="4"/>
        <v>30164.463</v>
      </c>
      <c r="H16" s="37">
        <f t="shared" si="5"/>
        <v>-3796</v>
      </c>
      <c r="I16" s="49" t="s">
        <v>84</v>
      </c>
      <c r="J16" s="50" t="s">
        <v>85</v>
      </c>
      <c r="K16" s="49">
        <v>-3796</v>
      </c>
      <c r="L16" s="49" t="s">
        <v>86</v>
      </c>
      <c r="M16" s="50" t="s">
        <v>69</v>
      </c>
      <c r="N16" s="50"/>
      <c r="O16" s="51" t="s">
        <v>70</v>
      </c>
      <c r="P16" s="51" t="s">
        <v>71</v>
      </c>
    </row>
    <row r="17" spans="1:16" ht="12.75" customHeight="1" thickBot="1">
      <c r="A17" s="37" t="str">
        <f t="shared" si="0"/>
        <v> VSS 1.241 </v>
      </c>
      <c r="B17" s="6" t="str">
        <f t="shared" si="1"/>
        <v>I</v>
      </c>
      <c r="C17" s="37">
        <f t="shared" si="2"/>
        <v>30603.350999999999</v>
      </c>
      <c r="D17" s="14" t="str">
        <f t="shared" si="3"/>
        <v>vis</v>
      </c>
      <c r="E17" s="48">
        <f>VLOOKUP(C17,Active!C$21:E$973,3,FALSE)</f>
        <v>273.9857947203044</v>
      </c>
      <c r="F17" s="6" t="s">
        <v>64</v>
      </c>
      <c r="G17" s="14" t="str">
        <f t="shared" si="4"/>
        <v>30603.351</v>
      </c>
      <c r="H17" s="37">
        <f t="shared" si="5"/>
        <v>-3731</v>
      </c>
      <c r="I17" s="49" t="s">
        <v>87</v>
      </c>
      <c r="J17" s="50" t="s">
        <v>88</v>
      </c>
      <c r="K17" s="49">
        <v>-3731</v>
      </c>
      <c r="L17" s="49" t="s">
        <v>89</v>
      </c>
      <c r="M17" s="50" t="s">
        <v>69</v>
      </c>
      <c r="N17" s="50"/>
      <c r="O17" s="51" t="s">
        <v>70</v>
      </c>
      <c r="P17" s="51" t="s">
        <v>71</v>
      </c>
    </row>
    <row r="18" spans="1:16" ht="12.75" customHeight="1" thickBot="1">
      <c r="A18" s="37" t="str">
        <f t="shared" si="0"/>
        <v> VSS 1.241 </v>
      </c>
      <c r="B18" s="6" t="str">
        <f t="shared" si="1"/>
        <v>I</v>
      </c>
      <c r="C18" s="37">
        <f t="shared" si="2"/>
        <v>30819.597000000002</v>
      </c>
      <c r="D18" s="14" t="str">
        <f t="shared" si="3"/>
        <v>vis</v>
      </c>
      <c r="E18" s="48">
        <f>VLOOKUP(C18,Active!C$21:E$973,3,FALSE)</f>
        <v>306.01410160233399</v>
      </c>
      <c r="F18" s="6" t="s">
        <v>64</v>
      </c>
      <c r="G18" s="14" t="str">
        <f t="shared" si="4"/>
        <v>30819.597</v>
      </c>
      <c r="H18" s="37">
        <f t="shared" si="5"/>
        <v>-3699</v>
      </c>
      <c r="I18" s="49" t="s">
        <v>90</v>
      </c>
      <c r="J18" s="50" t="s">
        <v>91</v>
      </c>
      <c r="K18" s="49">
        <v>-3699</v>
      </c>
      <c r="L18" s="49" t="s">
        <v>92</v>
      </c>
      <c r="M18" s="50" t="s">
        <v>69</v>
      </c>
      <c r="N18" s="50"/>
      <c r="O18" s="51" t="s">
        <v>70</v>
      </c>
      <c r="P18" s="51" t="s">
        <v>71</v>
      </c>
    </row>
    <row r="19" spans="1:16" ht="12.75" customHeight="1" thickBot="1">
      <c r="A19" s="37" t="str">
        <f t="shared" si="0"/>
        <v> VSS 1.241 </v>
      </c>
      <c r="B19" s="6" t="str">
        <f t="shared" si="1"/>
        <v>I</v>
      </c>
      <c r="C19" s="37">
        <f t="shared" si="2"/>
        <v>30900.460999999999</v>
      </c>
      <c r="D19" s="14" t="str">
        <f t="shared" si="3"/>
        <v>vis</v>
      </c>
      <c r="E19" s="48">
        <f>VLOOKUP(C19,Active!C$21:E$973,3,FALSE)</f>
        <v>317.99091045756529</v>
      </c>
      <c r="F19" s="6" t="s">
        <v>64</v>
      </c>
      <c r="G19" s="14" t="str">
        <f t="shared" si="4"/>
        <v>30900.461</v>
      </c>
      <c r="H19" s="37">
        <f t="shared" si="5"/>
        <v>-3687</v>
      </c>
      <c r="I19" s="49" t="s">
        <v>93</v>
      </c>
      <c r="J19" s="50" t="s">
        <v>94</v>
      </c>
      <c r="K19" s="49">
        <v>-3687</v>
      </c>
      <c r="L19" s="49" t="s">
        <v>95</v>
      </c>
      <c r="M19" s="50" t="s">
        <v>69</v>
      </c>
      <c r="N19" s="50"/>
      <c r="O19" s="51" t="s">
        <v>70</v>
      </c>
      <c r="P19" s="51" t="s">
        <v>71</v>
      </c>
    </row>
    <row r="20" spans="1:16" ht="12.75" customHeight="1" thickBot="1">
      <c r="A20" s="37" t="str">
        <f t="shared" si="0"/>
        <v> VSS 1.241 </v>
      </c>
      <c r="B20" s="6" t="str">
        <f t="shared" si="1"/>
        <v>I</v>
      </c>
      <c r="C20" s="37">
        <f t="shared" si="2"/>
        <v>31312.397000000001</v>
      </c>
      <c r="D20" s="14" t="str">
        <f t="shared" si="3"/>
        <v>vis</v>
      </c>
      <c r="E20" s="48">
        <f>VLOOKUP(C20,Active!C$21:E$973,3,FALSE)</f>
        <v>379.00296443200017</v>
      </c>
      <c r="F20" s="6" t="s">
        <v>64</v>
      </c>
      <c r="G20" s="14" t="str">
        <f t="shared" si="4"/>
        <v>31312.397</v>
      </c>
      <c r="H20" s="37">
        <f t="shared" si="5"/>
        <v>-3626</v>
      </c>
      <c r="I20" s="49" t="s">
        <v>96</v>
      </c>
      <c r="J20" s="50" t="s">
        <v>97</v>
      </c>
      <c r="K20" s="49">
        <v>-3626</v>
      </c>
      <c r="L20" s="49" t="s">
        <v>98</v>
      </c>
      <c r="M20" s="50" t="s">
        <v>69</v>
      </c>
      <c r="N20" s="50"/>
      <c r="O20" s="51" t="s">
        <v>70</v>
      </c>
      <c r="P20" s="51" t="s">
        <v>71</v>
      </c>
    </row>
    <row r="21" spans="1:16" ht="12.75" customHeight="1" thickBot="1">
      <c r="A21" s="37" t="str">
        <f t="shared" si="0"/>
        <v> BBS 105 </v>
      </c>
      <c r="B21" s="6" t="str">
        <f t="shared" si="1"/>
        <v>I</v>
      </c>
      <c r="C21" s="37">
        <f t="shared" si="2"/>
        <v>49229.428999999996</v>
      </c>
      <c r="D21" s="14" t="str">
        <f t="shared" si="3"/>
        <v>vis</v>
      </c>
      <c r="E21" s="48">
        <f>VLOOKUP(C21,Active!C$21:E$973,3,FALSE)</f>
        <v>3032.7038389505478</v>
      </c>
      <c r="F21" s="6" t="s">
        <v>64</v>
      </c>
      <c r="G21" s="14" t="str">
        <f t="shared" si="4"/>
        <v>49229.429</v>
      </c>
      <c r="H21" s="37">
        <f t="shared" si="5"/>
        <v>-972</v>
      </c>
      <c r="I21" s="49" t="s">
        <v>99</v>
      </c>
      <c r="J21" s="50" t="s">
        <v>100</v>
      </c>
      <c r="K21" s="49">
        <v>-972</v>
      </c>
      <c r="L21" s="49" t="s">
        <v>101</v>
      </c>
      <c r="M21" s="50" t="s">
        <v>102</v>
      </c>
      <c r="N21" s="50" t="s">
        <v>103</v>
      </c>
      <c r="O21" s="51" t="s">
        <v>104</v>
      </c>
      <c r="P21" s="51" t="s">
        <v>105</v>
      </c>
    </row>
    <row r="22" spans="1:16" ht="12.75" customHeight="1" thickBot="1">
      <c r="A22" s="37" t="str">
        <f t="shared" si="0"/>
        <v> BBS 108 </v>
      </c>
      <c r="B22" s="6" t="str">
        <f t="shared" si="1"/>
        <v>I</v>
      </c>
      <c r="C22" s="37">
        <f t="shared" si="2"/>
        <v>49580.495000000003</v>
      </c>
      <c r="D22" s="14" t="str">
        <f t="shared" si="3"/>
        <v>vis</v>
      </c>
      <c r="E22" s="48">
        <f>VLOOKUP(C22,Active!C$21:E$973,3,FALSE)</f>
        <v>3084.700405748762</v>
      </c>
      <c r="F22" s="6" t="s">
        <v>64</v>
      </c>
      <c r="G22" s="14" t="str">
        <f t="shared" si="4"/>
        <v>49580.495</v>
      </c>
      <c r="H22" s="37">
        <f t="shared" si="5"/>
        <v>-920</v>
      </c>
      <c r="I22" s="49" t="s">
        <v>106</v>
      </c>
      <c r="J22" s="50" t="s">
        <v>107</v>
      </c>
      <c r="K22" s="49">
        <v>-920</v>
      </c>
      <c r="L22" s="49" t="s">
        <v>108</v>
      </c>
      <c r="M22" s="50" t="s">
        <v>102</v>
      </c>
      <c r="N22" s="50" t="s">
        <v>103</v>
      </c>
      <c r="O22" s="51" t="s">
        <v>104</v>
      </c>
      <c r="P22" s="51" t="s">
        <v>109</v>
      </c>
    </row>
    <row r="23" spans="1:16" ht="12.75" customHeight="1" thickBot="1">
      <c r="A23" s="37" t="str">
        <f t="shared" si="0"/>
        <v> BBS 114 </v>
      </c>
      <c r="B23" s="6" t="str">
        <f t="shared" si="1"/>
        <v>I</v>
      </c>
      <c r="C23" s="37">
        <f t="shared" si="2"/>
        <v>50343.366000000002</v>
      </c>
      <c r="D23" s="14" t="str">
        <f t="shared" si="3"/>
        <v>vis</v>
      </c>
      <c r="E23" s="48">
        <f>VLOOKUP(C23,Active!C$21:E$973,3,FALSE)</f>
        <v>3197.6896240436695</v>
      </c>
      <c r="F23" s="6" t="s">
        <v>64</v>
      </c>
      <c r="G23" s="14" t="str">
        <f t="shared" si="4"/>
        <v>50343.366</v>
      </c>
      <c r="H23" s="37">
        <f t="shared" si="5"/>
        <v>-807</v>
      </c>
      <c r="I23" s="49" t="s">
        <v>110</v>
      </c>
      <c r="J23" s="50" t="s">
        <v>111</v>
      </c>
      <c r="K23" s="49">
        <v>-807</v>
      </c>
      <c r="L23" s="49" t="s">
        <v>112</v>
      </c>
      <c r="M23" s="50" t="s">
        <v>102</v>
      </c>
      <c r="N23" s="50" t="s">
        <v>103</v>
      </c>
      <c r="O23" s="51" t="s">
        <v>104</v>
      </c>
      <c r="P23" s="51" t="s">
        <v>113</v>
      </c>
    </row>
    <row r="24" spans="1:16" ht="12.75" customHeight="1" thickBot="1">
      <c r="A24" s="37" t="str">
        <f t="shared" si="0"/>
        <v> BBS 130 </v>
      </c>
      <c r="B24" s="6" t="str">
        <f t="shared" si="1"/>
        <v>I</v>
      </c>
      <c r="C24" s="37">
        <f t="shared" si="2"/>
        <v>52861.47</v>
      </c>
      <c r="D24" s="14" t="str">
        <f t="shared" si="3"/>
        <v>vis</v>
      </c>
      <c r="E24" s="48">
        <f>VLOOKUP(C24,Active!C$21:E$973,3,FALSE)</f>
        <v>3570.6473096094846</v>
      </c>
      <c r="F24" s="6" t="s">
        <v>64</v>
      </c>
      <c r="G24" s="14" t="str">
        <f t="shared" si="4"/>
        <v>52861.47</v>
      </c>
      <c r="H24" s="37">
        <f t="shared" si="5"/>
        <v>-434</v>
      </c>
      <c r="I24" s="49" t="s">
        <v>114</v>
      </c>
      <c r="J24" s="50" t="s">
        <v>115</v>
      </c>
      <c r="K24" s="49">
        <v>-434</v>
      </c>
      <c r="L24" s="49" t="s">
        <v>116</v>
      </c>
      <c r="M24" s="50" t="s">
        <v>102</v>
      </c>
      <c r="N24" s="50" t="s">
        <v>103</v>
      </c>
      <c r="O24" s="51" t="s">
        <v>104</v>
      </c>
      <c r="P24" s="51" t="s">
        <v>117</v>
      </c>
    </row>
    <row r="25" spans="1:16" ht="12.75" customHeight="1" thickBot="1">
      <c r="A25" s="37" t="str">
        <f t="shared" si="0"/>
        <v>OEJV 0142 </v>
      </c>
      <c r="B25" s="6" t="str">
        <f t="shared" si="1"/>
        <v>I</v>
      </c>
      <c r="C25" s="37">
        <f t="shared" si="2"/>
        <v>55791.423000000003</v>
      </c>
      <c r="D25" s="14" t="str">
        <f t="shared" si="3"/>
        <v>vis</v>
      </c>
      <c r="E25" s="48">
        <f>VLOOKUP(C25,Active!C$21:E$973,3,FALSE)</f>
        <v>4004.6041635347469</v>
      </c>
      <c r="F25" s="6" t="s">
        <v>64</v>
      </c>
      <c r="G25" s="14" t="str">
        <f t="shared" si="4"/>
        <v>55791.423</v>
      </c>
      <c r="H25" s="37">
        <f t="shared" si="5"/>
        <v>0</v>
      </c>
      <c r="I25" s="49" t="s">
        <v>118</v>
      </c>
      <c r="J25" s="50" t="s">
        <v>119</v>
      </c>
      <c r="K25" s="49">
        <v>0</v>
      </c>
      <c r="L25" s="49" t="s">
        <v>101</v>
      </c>
      <c r="M25" s="50" t="s">
        <v>120</v>
      </c>
      <c r="N25" s="50" t="s">
        <v>121</v>
      </c>
      <c r="O25" s="51" t="s">
        <v>104</v>
      </c>
      <c r="P25" s="52" t="s">
        <v>122</v>
      </c>
    </row>
    <row r="26" spans="1:16">
      <c r="B26" s="6"/>
      <c r="F26" s="6"/>
    </row>
    <row r="27" spans="1:16">
      <c r="B27" s="6"/>
      <c r="F27" s="6"/>
    </row>
    <row r="28" spans="1:16">
      <c r="B28" s="6"/>
      <c r="F28" s="6"/>
    </row>
    <row r="29" spans="1:16">
      <c r="B29" s="6"/>
      <c r="F29" s="6"/>
    </row>
    <row r="30" spans="1:16">
      <c r="B30" s="6"/>
      <c r="F30" s="6"/>
    </row>
    <row r="31" spans="1:16">
      <c r="B31" s="6"/>
      <c r="F31" s="6"/>
    </row>
    <row r="32" spans="1:16">
      <c r="B32" s="6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</sheetData>
  <phoneticPr fontId="8" type="noConversion"/>
  <hyperlinks>
    <hyperlink ref="A3" r:id="rId1" xr:uid="{00000000-0004-0000-0200-000000000000}"/>
    <hyperlink ref="P25" r:id="rId2" display="http://var.astro.cz/oejv/issues/oejv0142.pdf" xr:uid="{00000000-0004-0000-0200-00000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2023-08-07T00:23:27Z</dcterms:modified>
</cp:coreProperties>
</file>