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4870859-1B7D-4357-AA31-7E2C6EFD983F}" xr6:coauthVersionLast="47" xr6:coauthVersionMax="47" xr10:uidLastSave="{00000000-0000-0000-0000-000000000000}"/>
  <bookViews>
    <workbookView xWindow="14520" yWindow="135" windowWidth="13995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Q47" i="1"/>
  <c r="E44" i="1"/>
  <c r="F44" i="1" s="1"/>
  <c r="G44" i="1" s="1"/>
  <c r="Q44" i="1"/>
  <c r="E45" i="1"/>
  <c r="F45" i="1" s="1"/>
  <c r="G45" i="1" s="1"/>
  <c r="Q45" i="1"/>
  <c r="E46" i="1"/>
  <c r="F46" i="1"/>
  <c r="G46" i="1" s="1"/>
  <c r="Q46" i="1"/>
  <c r="Q43" i="1"/>
  <c r="Q42" i="1"/>
  <c r="Q41" i="1"/>
  <c r="Q21" i="1"/>
  <c r="Q32" i="1"/>
  <c r="Q33" i="1"/>
  <c r="Q35" i="1"/>
  <c r="Q38" i="1"/>
  <c r="Q39" i="1"/>
  <c r="G21" i="2"/>
  <c r="C21" i="2"/>
  <c r="G27" i="2"/>
  <c r="C27" i="2"/>
  <c r="G26" i="2"/>
  <c r="C26" i="2"/>
  <c r="G20" i="2"/>
  <c r="C20" i="2"/>
  <c r="G25" i="2"/>
  <c r="C25" i="2"/>
  <c r="G24" i="2"/>
  <c r="C24" i="2"/>
  <c r="G23" i="2"/>
  <c r="C23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22" i="2"/>
  <c r="C22" i="2"/>
  <c r="H21" i="2"/>
  <c r="B21" i="2"/>
  <c r="D21" i="2"/>
  <c r="A21" i="2"/>
  <c r="H27" i="2"/>
  <c r="D27" i="2"/>
  <c r="B27" i="2"/>
  <c r="A27" i="2"/>
  <c r="H26" i="2"/>
  <c r="B26" i="2"/>
  <c r="D26" i="2"/>
  <c r="A26" i="2"/>
  <c r="H20" i="2"/>
  <c r="D20" i="2"/>
  <c r="B20" i="2"/>
  <c r="A20" i="2"/>
  <c r="H25" i="2"/>
  <c r="B25" i="2"/>
  <c r="D25" i="2"/>
  <c r="A25" i="2"/>
  <c r="H24" i="2"/>
  <c r="D24" i="2"/>
  <c r="B24" i="2"/>
  <c r="A24" i="2"/>
  <c r="H23" i="2"/>
  <c r="B23" i="2"/>
  <c r="D23" i="2"/>
  <c r="A23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22" i="2"/>
  <c r="B22" i="2"/>
  <c r="D22" i="2"/>
  <c r="A22" i="2"/>
  <c r="E9" i="1"/>
  <c r="D9" i="1"/>
  <c r="Q40" i="1"/>
  <c r="Q34" i="1"/>
  <c r="Q36" i="1"/>
  <c r="Q37" i="1"/>
  <c r="F16" i="1"/>
  <c r="C17" i="1"/>
  <c r="Q29" i="1"/>
  <c r="Q30" i="1"/>
  <c r="Q26" i="1"/>
  <c r="Q27" i="1"/>
  <c r="Q28" i="1"/>
  <c r="Q22" i="1"/>
  <c r="Q24" i="1"/>
  <c r="Q25" i="1"/>
  <c r="Q31" i="1"/>
  <c r="C7" i="1"/>
  <c r="E43" i="1"/>
  <c r="F43" i="1"/>
  <c r="C8" i="1"/>
  <c r="Q23" i="1"/>
  <c r="E11" i="2"/>
  <c r="E17" i="2"/>
  <c r="E19" i="2"/>
  <c r="E22" i="2"/>
  <c r="E20" i="2"/>
  <c r="E27" i="2"/>
  <c r="E14" i="2"/>
  <c r="E40" i="1"/>
  <c r="F40" i="1"/>
  <c r="G40" i="1"/>
  <c r="E32" i="1"/>
  <c r="E24" i="1"/>
  <c r="G39" i="1"/>
  <c r="E37" i="1"/>
  <c r="F37" i="1"/>
  <c r="E29" i="1"/>
  <c r="F29" i="1"/>
  <c r="G29" i="1"/>
  <c r="J29" i="1"/>
  <c r="G23" i="1"/>
  <c r="I23" i="1"/>
  <c r="E21" i="1"/>
  <c r="F21" i="1"/>
  <c r="G36" i="1"/>
  <c r="E34" i="1"/>
  <c r="F34" i="1"/>
  <c r="G34" i="1"/>
  <c r="G28" i="1"/>
  <c r="J28" i="1"/>
  <c r="E26" i="1"/>
  <c r="F26" i="1"/>
  <c r="G26" i="1"/>
  <c r="J26" i="1"/>
  <c r="E41" i="1"/>
  <c r="F41" i="1"/>
  <c r="G41" i="1"/>
  <c r="E39" i="1"/>
  <c r="F39" i="1"/>
  <c r="E31" i="1"/>
  <c r="F31" i="1"/>
  <c r="G31" i="1"/>
  <c r="I31" i="1"/>
  <c r="E23" i="1"/>
  <c r="F23" i="1"/>
  <c r="E36" i="1"/>
  <c r="F36" i="1"/>
  <c r="G30" i="1"/>
  <c r="J30" i="1"/>
  <c r="E28" i="1"/>
  <c r="F28" i="1"/>
  <c r="G22" i="1"/>
  <c r="I22" i="1"/>
  <c r="G42" i="1"/>
  <c r="G35" i="1"/>
  <c r="E33" i="1"/>
  <c r="F33" i="1"/>
  <c r="G33" i="1"/>
  <c r="E25" i="1"/>
  <c r="F25" i="1"/>
  <c r="G25" i="1"/>
  <c r="I25" i="1"/>
  <c r="G43" i="1"/>
  <c r="E38" i="1"/>
  <c r="F38" i="1"/>
  <c r="G38" i="1"/>
  <c r="E30" i="1"/>
  <c r="F30" i="1"/>
  <c r="E22" i="1"/>
  <c r="F22" i="1"/>
  <c r="E42" i="1"/>
  <c r="F42" i="1"/>
  <c r="G37" i="1"/>
  <c r="E35" i="1"/>
  <c r="F35" i="1"/>
  <c r="E27" i="1"/>
  <c r="F27" i="1"/>
  <c r="G27" i="1"/>
  <c r="J27" i="1"/>
  <c r="G21" i="1"/>
  <c r="K33" i="1"/>
  <c r="N33" i="1"/>
  <c r="I38" i="1"/>
  <c r="N38" i="1"/>
  <c r="I40" i="1"/>
  <c r="N40" i="1"/>
  <c r="N41" i="1"/>
  <c r="K41" i="1"/>
  <c r="E13" i="2"/>
  <c r="E15" i="2"/>
  <c r="E16" i="2"/>
  <c r="E18" i="2"/>
  <c r="K43" i="1"/>
  <c r="N43" i="1"/>
  <c r="E21" i="2"/>
  <c r="F32" i="1"/>
  <c r="G32" i="1"/>
  <c r="E23" i="2"/>
  <c r="I21" i="1"/>
  <c r="N21" i="1"/>
  <c r="N35" i="1"/>
  <c r="K35" i="1"/>
  <c r="N34" i="1"/>
  <c r="K34" i="1"/>
  <c r="N39" i="1"/>
  <c r="I39" i="1"/>
  <c r="E25" i="2"/>
  <c r="K42" i="1"/>
  <c r="N42" i="1"/>
  <c r="K36" i="1"/>
  <c r="N36" i="1"/>
  <c r="F24" i="1"/>
  <c r="G24" i="1"/>
  <c r="E12" i="2"/>
  <c r="E26" i="2"/>
  <c r="E24" i="2"/>
  <c r="N37" i="1"/>
  <c r="K37" i="1"/>
  <c r="N32" i="1"/>
  <c r="I32" i="1"/>
  <c r="I24" i="1"/>
  <c r="C11" i="1"/>
  <c r="C12" i="1"/>
  <c r="O47" i="1" l="1"/>
  <c r="K47" i="1"/>
  <c r="N47" i="1"/>
  <c r="O46" i="1"/>
  <c r="O45" i="1"/>
  <c r="O44" i="1"/>
  <c r="N45" i="1"/>
  <c r="K45" i="1"/>
  <c r="K46" i="1"/>
  <c r="N46" i="1"/>
  <c r="K44" i="1"/>
  <c r="N44" i="1"/>
  <c r="O40" i="1"/>
  <c r="O37" i="1"/>
  <c r="O38" i="1"/>
  <c r="O34" i="1"/>
  <c r="O22" i="1"/>
  <c r="O30" i="1"/>
  <c r="O23" i="1"/>
  <c r="O27" i="1"/>
  <c r="O41" i="1"/>
  <c r="O36" i="1"/>
  <c r="O26" i="1"/>
  <c r="O31" i="1"/>
  <c r="O29" i="1"/>
  <c r="O32" i="1"/>
  <c r="O43" i="1"/>
  <c r="C15" i="1"/>
  <c r="O24" i="1"/>
  <c r="O35" i="1"/>
  <c r="O39" i="1"/>
  <c r="O25" i="1"/>
  <c r="O42" i="1"/>
  <c r="O33" i="1"/>
  <c r="O28" i="1"/>
  <c r="O2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<sst xmlns="http://schemas.openxmlformats.org/spreadsheetml/2006/main" count="246" uniqueCount="147">
  <si>
    <t>IBVS 6244</t>
  </si>
  <si>
    <t>VSB-64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</si>
  <si>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</si>
  <si>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</si>
  <si>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</si>
  <si>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</si>
  <si>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</si>
  <si>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</si>
  <si>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</si>
  <si>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</si>
  <si>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</si>
  <si>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</si>
  <si>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</si>
  <si>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</si>
  <si>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</si>
  <si>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</si>
  <si>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</si>
  <si>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</si>
  <si>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</si>
  <si>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</si>
  <si>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</si>
  <si>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</si>
  <si>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</si>
  <si>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</si>
  <si>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</si>
  <si>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</si>
  <si>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</si>
  <si>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</si>
  <si>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</si>
  <si>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Bull.107</t>
  </si>
  <si>
    <t>B</t>
  </si>
  <si>
    <t>II</t>
  </si>
  <si>
    <t>Mayer 1991</t>
  </si>
  <si>
    <t>1991BAICz..42..225M</t>
  </si>
  <si>
    <t>IBVS 3629</t>
  </si>
  <si>
    <t># of data points:</t>
  </si>
  <si>
    <t>V1331 Aql / GSC 05113-00910</t>
  </si>
  <si>
    <t>EB/KE:</t>
  </si>
  <si>
    <t>Mayer 1998</t>
  </si>
  <si>
    <t>1998A&amp;AS..130..311M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</si>
  <si>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</si>
  <si>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</si>
  <si>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</si>
  <si>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</si>
  <si>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</si>
  <si>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</si>
  <si>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</si>
  <si>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</si>
  <si>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</si>
  <si>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</t>
  </si>
  <si>
    <t>OEJV 0172</t>
  </si>
  <si>
    <t>pg</t>
  </si>
  <si>
    <t>vis</t>
  </si>
  <si>
    <t>PE</t>
  </si>
  <si>
    <t>CCD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</si>
  <si>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</si>
  <si>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</si>
  <si>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</si>
  <si>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</si>
  <si>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</si>
  <si>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</si>
  <si>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</si>
  <si>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</si>
  <si>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</si>
  <si>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</si>
  <si>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2442610.058 </t>
  </si>
  <si>
    <t> 16.07.1975 13:23 </t>
  </si>
  <si>
    <t> -0.012 </t>
  </si>
  <si>
    <t>E </t>
  </si>
  <si>
    <t>?</t>
  </si>
  <si>
    <t> van Leeuwen(Mayer) </t>
  </si>
  <si>
    <t> BAC 42.225 </t>
  </si>
  <si>
    <t>2442610.070 </t>
  </si>
  <si>
    <t> 16.07.1975 13:40 </t>
  </si>
  <si>
    <t> -0.000 </t>
  </si>
  <si>
    <t> K.K.Kwee </t>
  </si>
  <si>
    <t> GCVS 1985 </t>
  </si>
  <si>
    <t>2442957.909 </t>
  </si>
  <si>
    <t> 28.06.1976 09:48 </t>
  </si>
  <si>
    <t> -0.030 </t>
  </si>
  <si>
    <t> F.Pachero et al. </t>
  </si>
  <si>
    <t>IBVS 1306 </t>
  </si>
  <si>
    <t>2447368.392 </t>
  </si>
  <si>
    <t> 25.07.1988 21:24 </t>
  </si>
  <si>
    <t> 0.017 </t>
  </si>
  <si>
    <t> P.Mayer et al. </t>
  </si>
  <si>
    <t>2448062.7464 </t>
  </si>
  <si>
    <t> 20.06.1990 05:54 </t>
  </si>
  <si>
    <t> -0.0030 </t>
  </si>
  <si>
    <t> R.Lorenz et al. </t>
  </si>
  <si>
    <t>IBVS 3629 </t>
  </si>
  <si>
    <t>2448066.8417 </t>
  </si>
  <si>
    <t> 24.06.1990 08:12 </t>
  </si>
  <si>
    <t> -0.0003 </t>
  </si>
  <si>
    <t>2448071.6125 </t>
  </si>
  <si>
    <t> 29.06.1990 02:42 </t>
  </si>
  <si>
    <t> -0.0041 </t>
  </si>
  <si>
    <t>2448814.4219 </t>
  </si>
  <si>
    <t> 10.07.1992 22:07 </t>
  </si>
  <si>
    <t> 0.0022 </t>
  </si>
  <si>
    <t> AAPS 130.311 </t>
  </si>
  <si>
    <t>2449524.4757 </t>
  </si>
  <si>
    <t> 20.06.1994 23:25 </t>
  </si>
  <si>
    <t> -0.0065 </t>
  </si>
  <si>
    <t>2449569.499 </t>
  </si>
  <si>
    <t> 04.08.1994 23:58 </t>
  </si>
  <si>
    <t> -0.002 </t>
  </si>
  <si>
    <t> R.Diethelm </t>
  </si>
  <si>
    <t> BBS 107 </t>
  </si>
  <si>
    <t>2453984.0281 </t>
  </si>
  <si>
    <t> 05.09.2006 12:40 </t>
  </si>
  <si>
    <t> -0.0009 </t>
  </si>
  <si>
    <t> K.Nagai et al. </t>
  </si>
  <si>
    <t>VSB 45 </t>
  </si>
  <si>
    <t>2455388.4664 </t>
  </si>
  <si>
    <t> 10.07.2010 23:11 </t>
  </si>
  <si>
    <t> 0.0007 </t>
  </si>
  <si>
    <t>C </t>
  </si>
  <si>
    <t> M.Lehky </t>
  </si>
  <si>
    <t>OEJV 0137 </t>
  </si>
  <si>
    <t>2455388.4675 </t>
  </si>
  <si>
    <t> 10.07.2010 23:13 </t>
  </si>
  <si>
    <t> 0.0018 </t>
  </si>
  <si>
    <t>2455388.4682 </t>
  </si>
  <si>
    <t> 10.07.2010 23:14 </t>
  </si>
  <si>
    <t> 0.0025 </t>
  </si>
  <si>
    <t>R</t>
  </si>
  <si>
    <t>2455741.105 </t>
  </si>
  <si>
    <t> 28.06.2011 14:31 </t>
  </si>
  <si>
    <t> -0.005 </t>
  </si>
  <si>
    <t>cG</t>
  </si>
  <si>
    <t> K.Nagai </t>
  </si>
  <si>
    <t>VSB 53 </t>
  </si>
  <si>
    <t>2455754.0694 </t>
  </si>
  <si>
    <t> 11.07.2011 13:39 </t>
  </si>
  <si>
    <t> 0.0000 </t>
  </si>
  <si>
    <t>Rc</t>
  </si>
  <si>
    <t>2457201.482 </t>
  </si>
  <si>
    <t> 27.06.2015 23:34 </t>
  </si>
  <si>
    <t> 0.004 </t>
  </si>
  <si>
    <t>o</t>
  </si>
  <si>
    <t> A.Paschke </t>
  </si>
  <si>
    <t>OEJV 0172 </t>
  </si>
  <si>
    <t>s7</t>
  </si>
  <si>
    <t>JBAV, 55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</si>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</sst>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4" fillId="0" borderId="0" xfId="38" applyFont="1" applyAlignment="1" applyProtection="1"/>
    <xf numFmtId="0" fontId="15" fillId="0" borderId="0" xfId="0" applyFont="1" applyAlignment="1"/>
    <xf numFmtId="0" fontId="13" fillId="0" borderId="0" xfId="0" applyFont="1" applyAlignment="1">
      <alignment horizont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9" fillId="24" borderId="18" xfId="38" applyFill="1" applyBorder="1" applyAlignment="1" applyProtection="1">
      <alignment horizontal="right" vertical="top" wrapText="1"/>
    </xf>
    <xf numFmtId="0" fontId="3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166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35" fillId="0" borderId="0" xfId="43" applyFont="1"/>
    <xf numFmtId="0" fontId="35" fillId="0" borderId="0" xfId="43" applyFont="1" applyAlignment="1">
      <alignment horizontal="center" wrapText="1"/>
    </xf>
    <xf numFmtId="0" fontId="35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7" fontId="38" fillId="0" borderId="0" xfId="0" applyNumberFormat="1" applyFont="1" applyAlignment="1">
      <alignment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7" fontId="38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V1331 Aql - O-C Diagr.</a:t>
            </a:r>
          </a:p>
        </c:rich>
      </c:tx>
      <c:layout>
        <c:manualLayout>
          <c:xMode val="edge"/>
          <c:yMode val="edge"/>
          <c:x val="0.3608419335932522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7692148456697"/>
          <c:y val="0.14769252958613219"/>
          <c:w val="0.8090627671526837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0D-4E90-85F7-28CCDFD698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-1.2000000002444722E-2</c:v>
                </c:pt>
                <c:pt idx="1">
                  <c:v>-1.1899999997694977E-2</c:v>
                </c:pt>
                <c:pt idx="2">
                  <c:v>0</c:v>
                </c:pt>
                <c:pt idx="3">
                  <c:v>-3.4294999997655395E-2</c:v>
                </c:pt>
                <c:pt idx="4">
                  <c:v>-3.8992000001599081E-2</c:v>
                </c:pt>
                <c:pt idx="10">
                  <c:v>-8.321349999459926E-2</c:v>
                </c:pt>
                <c:pt idx="11">
                  <c:v>-0.13443749999714782</c:v>
                </c:pt>
                <c:pt idx="17">
                  <c:v>-0.1587294999990263</c:v>
                </c:pt>
                <c:pt idx="18">
                  <c:v>-0.1543149999997695</c:v>
                </c:pt>
                <c:pt idx="19">
                  <c:v>-0.16746399999829009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0D-4E90-85F7-28CCDFD698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-6.6972999993595295E-2</c:v>
                </c:pt>
                <c:pt idx="6">
                  <c:v>-6.4300000005459879E-2</c:v>
                </c:pt>
                <c:pt idx="7">
                  <c:v>-6.8231499993999023E-2</c:v>
                </c:pt>
                <c:pt idx="8">
                  <c:v>-7.0631999995384831E-2</c:v>
                </c:pt>
                <c:pt idx="9">
                  <c:v>-8.761650000087684E-2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0D-4E90-85F7-28CCDFD698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">
                  <c:v>-0.14930300000560237</c:v>
                </c:pt>
                <c:pt idx="13">
                  <c:v>-0.14921300000423798</c:v>
                </c:pt>
                <c:pt idx="14">
                  <c:v>-0.14820300000428688</c:v>
                </c:pt>
                <c:pt idx="15">
                  <c:v>-0.14817300000140676</c:v>
                </c:pt>
                <c:pt idx="16">
                  <c:v>-0.14750300000014249</c:v>
                </c:pt>
                <c:pt idx="20">
                  <c:v>-0.17413300000043819</c:v>
                </c:pt>
                <c:pt idx="21">
                  <c:v>-0.17969600000651553</c:v>
                </c:pt>
                <c:pt idx="22">
                  <c:v>-0.17833300000347663</c:v>
                </c:pt>
                <c:pt idx="23">
                  <c:v>-0.19344600017939229</c:v>
                </c:pt>
                <c:pt idx="24">
                  <c:v>-0.20950700008688727</c:v>
                </c:pt>
                <c:pt idx="25">
                  <c:v>-0.2085069999229745</c:v>
                </c:pt>
                <c:pt idx="26">
                  <c:v>-0.19925700008752756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0D-4E90-85F7-28CCDFD698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0D-4E90-85F7-28CCDFD698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0D-4E90-85F7-28CCDFD698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5">
                    <c:v>2.9999999999999997E-4</c:v>
                  </c:pt>
                  <c:pt idx="6">
                    <c:v>5.9999999999999995E-4</c:v>
                  </c:pt>
                  <c:pt idx="7">
                    <c:v>1.5E-3</c:v>
                  </c:pt>
                  <c:pt idx="8">
                    <c:v>2.9999999999999997E-4</c:v>
                  </c:pt>
                  <c:pt idx="9">
                    <c:v>5.0000000000000001E-4</c:v>
                  </c:pt>
                  <c:pt idx="10">
                    <c:v>3.0000000000000001E-3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1.5E-3</c:v>
                  </c:pt>
                  <c:pt idx="14">
                    <c:v>0</c:v>
                  </c:pt>
                  <c:pt idx="15">
                    <c:v>1.6999999999999999E-3</c:v>
                  </c:pt>
                  <c:pt idx="16">
                    <c:v>1.2999999999999999E-3</c:v>
                  </c:pt>
                  <c:pt idx="17">
                    <c:v>0</c:v>
                  </c:pt>
                  <c:pt idx="18">
                    <c:v>0</c:v>
                  </c:pt>
                  <c:pt idx="19">
                    <c:v>4.0000000000000001E-3</c:v>
                  </c:pt>
                  <c:pt idx="20">
                    <c:v>1.03E-2</c:v>
                  </c:pt>
                  <c:pt idx="21">
                    <c:v>0</c:v>
                  </c:pt>
                  <c:pt idx="22">
                    <c:v>2E-3</c:v>
                  </c:pt>
                  <c:pt idx="2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0">
                  <c:v>-1.2000000002444722E-2</c:v>
                </c:pt>
                <c:pt idx="11">
                  <c:v>-0.13443749999714782</c:v>
                </c:pt>
                <c:pt idx="12">
                  <c:v>-0.14930300000560237</c:v>
                </c:pt>
                <c:pt idx="13">
                  <c:v>-0.14921300000423798</c:v>
                </c:pt>
                <c:pt idx="14">
                  <c:v>-0.14820300000428688</c:v>
                </c:pt>
                <c:pt idx="15">
                  <c:v>-0.14817300000140676</c:v>
                </c:pt>
                <c:pt idx="16">
                  <c:v>-0.14750300000014249</c:v>
                </c:pt>
                <c:pt idx="17">
                  <c:v>-0.1587294999990263</c:v>
                </c:pt>
                <c:pt idx="18">
                  <c:v>-0.1543149999997695</c:v>
                </c:pt>
                <c:pt idx="19">
                  <c:v>-0.16746399999829009</c:v>
                </c:pt>
                <c:pt idx="20">
                  <c:v>-0.17413300000043819</c:v>
                </c:pt>
                <c:pt idx="21">
                  <c:v>-0.17969600000651553</c:v>
                </c:pt>
                <c:pt idx="22">
                  <c:v>-0.17833300000347663</c:v>
                </c:pt>
                <c:pt idx="23">
                  <c:v>-0.19344600017939229</c:v>
                </c:pt>
                <c:pt idx="24">
                  <c:v>-0.20950700008688727</c:v>
                </c:pt>
                <c:pt idx="25">
                  <c:v>-0.2085069999229745</c:v>
                </c:pt>
                <c:pt idx="26">
                  <c:v>-0.19925700008752756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0D-4E90-85F7-28CCDFD698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255</c:v>
                </c:pt>
                <c:pt idx="4">
                  <c:v>3488</c:v>
                </c:pt>
                <c:pt idx="5">
                  <c:v>3997</c:v>
                </c:pt>
                <c:pt idx="6">
                  <c:v>4000</c:v>
                </c:pt>
                <c:pt idx="7">
                  <c:v>4003.5</c:v>
                </c:pt>
                <c:pt idx="8">
                  <c:v>4548</c:v>
                </c:pt>
                <c:pt idx="9">
                  <c:v>5068.5</c:v>
                </c:pt>
                <c:pt idx="10">
                  <c:v>5101.5</c:v>
                </c:pt>
                <c:pt idx="11">
                  <c:v>8337.5</c:v>
                </c:pt>
                <c:pt idx="12">
                  <c:v>9367</c:v>
                </c:pt>
                <c:pt idx="13">
                  <c:v>9367</c:v>
                </c:pt>
                <c:pt idx="14">
                  <c:v>9367</c:v>
                </c:pt>
                <c:pt idx="15">
                  <c:v>9367</c:v>
                </c:pt>
                <c:pt idx="16">
                  <c:v>9367</c:v>
                </c:pt>
                <c:pt idx="17">
                  <c:v>9625.5</c:v>
                </c:pt>
                <c:pt idx="18">
                  <c:v>9635</c:v>
                </c:pt>
                <c:pt idx="19">
                  <c:v>10696</c:v>
                </c:pt>
                <c:pt idx="20">
                  <c:v>10737</c:v>
                </c:pt>
                <c:pt idx="21">
                  <c:v>11244</c:v>
                </c:pt>
                <c:pt idx="22">
                  <c:v>11237</c:v>
                </c:pt>
                <c:pt idx="23">
                  <c:v>12294</c:v>
                </c:pt>
                <c:pt idx="24">
                  <c:v>12323</c:v>
                </c:pt>
                <c:pt idx="25">
                  <c:v>12323</c:v>
                </c:pt>
                <c:pt idx="26">
                  <c:v>12573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-6.8941476037045757E-3</c:v>
                </c:pt>
                <c:pt idx="1">
                  <c:v>-6.8941476037045757E-3</c:v>
                </c:pt>
                <c:pt idx="2">
                  <c:v>-6.8941476037045757E-3</c:v>
                </c:pt>
                <c:pt idx="3">
                  <c:v>-1.0818679418560776E-2</c:v>
                </c:pt>
                <c:pt idx="4">
                  <c:v>-6.0575586702600367E-2</c:v>
                </c:pt>
                <c:pt idx="5">
                  <c:v>-6.8409260011470185E-2</c:v>
                </c:pt>
                <c:pt idx="6">
                  <c:v>-6.8455430973997922E-2</c:v>
                </c:pt>
                <c:pt idx="7">
                  <c:v>-6.8509297096946919E-2</c:v>
                </c:pt>
                <c:pt idx="8">
                  <c:v>-7.6889326795728102E-2</c:v>
                </c:pt>
                <c:pt idx="9">
                  <c:v>-8.489998879428752E-2</c:v>
                </c:pt>
                <c:pt idx="10">
                  <c:v>-8.5407869382092438E-2</c:v>
                </c:pt>
                <c:pt idx="11">
                  <c:v>-0.13521094762865976</c:v>
                </c:pt>
                <c:pt idx="12">
                  <c:v>-0.151055282936089</c:v>
                </c:pt>
                <c:pt idx="13">
                  <c:v>-0.151055282936089</c:v>
                </c:pt>
                <c:pt idx="14">
                  <c:v>-0.151055282936089</c:v>
                </c:pt>
                <c:pt idx="15">
                  <c:v>-0.151055282936089</c:v>
                </c:pt>
                <c:pt idx="16">
                  <c:v>-0.151055282936089</c:v>
                </c:pt>
                <c:pt idx="17">
                  <c:v>-0.15503368087389421</c:v>
                </c:pt>
                <c:pt idx="18">
                  <c:v>-0.15517988892189866</c:v>
                </c:pt>
                <c:pt idx="19">
                  <c:v>-0.17150901933586896</c:v>
                </c:pt>
                <c:pt idx="20">
                  <c:v>-0.17214002249041446</c:v>
                </c:pt>
                <c:pt idx="21">
                  <c:v>-0.17994291515759914</c:v>
                </c:pt>
                <c:pt idx="22">
                  <c:v>-0.17983518291170114</c:v>
                </c:pt>
                <c:pt idx="23">
                  <c:v>-0.19610275204230115</c:v>
                </c:pt>
                <c:pt idx="24">
                  <c:v>-0.19654907134673577</c:v>
                </c:pt>
                <c:pt idx="25">
                  <c:v>-0.19654907134673577</c:v>
                </c:pt>
                <c:pt idx="26">
                  <c:v>-0.2003966515573791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0D-4E90-85F7-28CCDFD69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13280"/>
        <c:axId val="1"/>
      </c:scatterChart>
      <c:valAx>
        <c:axId val="49741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726940685812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13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68318765979494"/>
          <c:y val="0.92000129214617399"/>
          <c:w val="0.6569589480926534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47625</xdr:rowOff>
    </xdr:from>
    <xdr:to>
      <xdr:col>16</xdr:col>
      <xdr:colOff>323850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8228AE-0F7C-50E7-2F55-BC8CC50E8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?1991BAICz..42..225M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s://www.aavso.org/ejaavso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vsolj.cetus-net.org/bulletin.html" TargetMode="External"/><Relationship Id="rId35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3629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konkoly.hu/cgi-bin/IBVS?130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5.pdf" TargetMode="External"/><Relationship Id="rId11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3629" TargetMode="External"/><Relationship Id="rId10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3629" TargetMode="External"/><Relationship Id="rId9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27</v>
      </c>
      <c r="B2" s="9" t="s">
        <v>37</v>
      </c>
    </row>
    <row r="4" spans="1:6" ht="14.25" thickTop="1" thickBot="1" x14ac:dyDescent="0.25">
      <c r="A4" s="6" t="s">
        <v>3</v>
      </c>
      <c r="C4" s="2">
        <v>42610.07</v>
      </c>
      <c r="D4" s="3">
        <v>1.364209</v>
      </c>
    </row>
    <row r="5" spans="1:6" ht="13.5" thickTop="1" x14ac:dyDescent="0.2">
      <c r="A5" s="16" t="s">
        <v>40</v>
      </c>
      <c r="B5" s="17"/>
      <c r="C5" s="18">
        <v>-9.5</v>
      </c>
      <c r="D5" s="17" t="s">
        <v>41</v>
      </c>
    </row>
    <row r="6" spans="1:6" x14ac:dyDescent="0.2">
      <c r="A6" s="6" t="s">
        <v>4</v>
      </c>
    </row>
    <row r="7" spans="1:6" x14ac:dyDescent="0.2">
      <c r="A7" t="s">
        <v>5</v>
      </c>
      <c r="C7">
        <f>+C4</f>
        <v>42610.07</v>
      </c>
    </row>
    <row r="8" spans="1:6" x14ac:dyDescent="0.2">
      <c r="A8" t="s">
        <v>6</v>
      </c>
      <c r="C8">
        <f>+D4</f>
        <v>1.364209</v>
      </c>
    </row>
    <row r="9" spans="1:6" x14ac:dyDescent="0.2">
      <c r="A9" s="31" t="s">
        <v>47</v>
      </c>
      <c r="C9" s="32">
        <v>21</v>
      </c>
      <c r="D9" s="20" t="str">
        <f>"F"&amp;C9</f>
        <v>F21</v>
      </c>
      <c r="E9" s="21" t="str">
        <f>"G"&amp;C9</f>
        <v>G21</v>
      </c>
    </row>
    <row r="10" spans="1:6" ht="13.5" thickBot="1" x14ac:dyDescent="0.25">
      <c r="A10" s="17"/>
      <c r="B10" s="17"/>
      <c r="C10" s="5" t="s">
        <v>23</v>
      </c>
      <c r="D10" s="5" t="s">
        <v>24</v>
      </c>
      <c r="E10" s="17"/>
    </row>
    <row r="11" spans="1:6" x14ac:dyDescent="0.2">
      <c r="A11" s="17" t="s">
        <v>19</v>
      </c>
      <c r="B11" s="17"/>
      <c r="C11" s="19">
        <f ca="1">INTERCEPT(INDIRECT($E$9):G992,INDIRECT($D$9):F992)</f>
        <v>-6.8941476037045757E-3</v>
      </c>
      <c r="D11" s="4"/>
      <c r="E11" s="17"/>
    </row>
    <row r="12" spans="1:6" x14ac:dyDescent="0.2">
      <c r="A12" s="17" t="s">
        <v>20</v>
      </c>
      <c r="B12" s="17"/>
      <c r="C12" s="19">
        <f ca="1">SLOPE(INDIRECT($E$9):G992,INDIRECT($D$9):F992)</f>
        <v>-1.5390320842573334E-5</v>
      </c>
      <c r="D12" s="4"/>
      <c r="E12" s="17"/>
    </row>
    <row r="13" spans="1:6" x14ac:dyDescent="0.2">
      <c r="A13" s="17" t="s">
        <v>22</v>
      </c>
      <c r="B13" s="17"/>
      <c r="C13" s="4" t="s">
        <v>17</v>
      </c>
    </row>
    <row r="14" spans="1:6" x14ac:dyDescent="0.2">
      <c r="A14" s="17"/>
      <c r="B14" s="17"/>
      <c r="C14" s="17"/>
    </row>
    <row r="15" spans="1:6" x14ac:dyDescent="0.2">
      <c r="A15" s="24" t="s">
        <v>21</v>
      </c>
      <c r="B15" s="17"/>
      <c r="C15" s="25">
        <f ca="1">(C7+C11)+(C8+C12)*INT(MAX(F21:F3533))</f>
        <v>59762.06936034844</v>
      </c>
      <c r="E15" s="22" t="s">
        <v>42</v>
      </c>
      <c r="F15" s="18">
        <v>1</v>
      </c>
    </row>
    <row r="16" spans="1:6" x14ac:dyDescent="0.2">
      <c r="A16" s="26" t="s">
        <v>7</v>
      </c>
      <c r="B16" s="17"/>
      <c r="C16" s="27">
        <f ca="1">+C8+C12</f>
        <v>1.3641936096791574</v>
      </c>
      <c r="E16" s="22" t="s">
        <v>43</v>
      </c>
      <c r="F16" s="23">
        <f ca="1">NOW()+15018.5+$C$5/24</f>
        <v>60175.754010300923</v>
      </c>
    </row>
    <row r="17" spans="1:31" ht="13.5" thickBot="1" x14ac:dyDescent="0.25">
      <c r="A17" s="22" t="s">
        <v>35</v>
      </c>
      <c r="B17" s="17"/>
      <c r="C17" s="17">
        <f>COUNT(C21:C2191)</f>
        <v>27</v>
      </c>
      <c r="E17" s="22" t="s">
        <v>44</v>
      </c>
      <c r="F17" s="23">
        <f ca="1">ROUND(2*(F16-$C$7)/$C$8,0)/2+F15</f>
        <v>12877</v>
      </c>
    </row>
    <row r="18" spans="1:31" ht="14.25" thickTop="1" thickBot="1" x14ac:dyDescent="0.25">
      <c r="A18" s="26" t="s">
        <v>8</v>
      </c>
      <c r="B18" s="17"/>
      <c r="C18" s="29">
        <f ca="1">+C15</f>
        <v>59762.06936034844</v>
      </c>
      <c r="D18" s="30">
        <f ca="1">+C16</f>
        <v>1.3641936096791574</v>
      </c>
      <c r="E18" s="22" t="s">
        <v>45</v>
      </c>
      <c r="F18" s="21">
        <f ca="1">ROUND(2*(F16-$C$15)/$C$16,0)/2+F15</f>
        <v>304</v>
      </c>
    </row>
    <row r="19" spans="1:31" ht="13.5" thickTop="1" x14ac:dyDescent="0.2">
      <c r="E19" s="22" t="s">
        <v>46</v>
      </c>
      <c r="F19" s="28">
        <f ca="1">+$C$15+$C$16*F18-15018.5-$C$5/24</f>
        <v>45158.680051024239</v>
      </c>
    </row>
    <row r="20" spans="1:31" ht="13.5" thickBot="1" x14ac:dyDescent="0.25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51</v>
      </c>
      <c r="I20" s="8" t="s">
        <v>52</v>
      </c>
      <c r="J20" s="8" t="s">
        <v>53</v>
      </c>
      <c r="K20" s="8" t="s">
        <v>54</v>
      </c>
      <c r="L20" s="8" t="s">
        <v>55</v>
      </c>
      <c r="M20" s="8" t="s">
        <v>56</v>
      </c>
      <c r="N20" s="8" t="s">
        <v>143</v>
      </c>
      <c r="O20" s="8" t="s">
        <v>26</v>
      </c>
      <c r="P20" s="7" t="s">
        <v>25</v>
      </c>
      <c r="Q20" s="5" t="s">
        <v>18</v>
      </c>
    </row>
    <row r="21" spans="1:31" s="10" customFormat="1" x14ac:dyDescent="0.2">
      <c r="A21" s="21" t="s">
        <v>71</v>
      </c>
      <c r="B21" s="4" t="s">
        <v>49</v>
      </c>
      <c r="C21" s="37">
        <v>42610.057999999997</v>
      </c>
      <c r="D21" s="37" t="s">
        <v>52</v>
      </c>
      <c r="E21" s="10">
        <f t="shared" ref="E21:E40" si="0">+(C21-C$7)/C$8</f>
        <v>-8.7963061396345594E-3</v>
      </c>
      <c r="F21" s="10">
        <f t="shared" ref="F21:F43" si="1">ROUND(2*E21,0)/2</f>
        <v>0</v>
      </c>
      <c r="G21" s="10">
        <f t="shared" ref="G21:G40" si="2">+C21-(C$7+F21*C$8)</f>
        <v>-1.2000000002444722E-2</v>
      </c>
      <c r="I21" s="10">
        <f>G21</f>
        <v>-1.2000000002444722E-2</v>
      </c>
      <c r="K21"/>
      <c r="N21" s="10">
        <f>+G21</f>
        <v>-1.2000000002444722E-2</v>
      </c>
      <c r="O21" s="10">
        <f t="shared" ref="O21:O40" ca="1" si="3">+C$11+C$12*F21</f>
        <v>-6.8941476037045757E-3</v>
      </c>
      <c r="Q21" s="12">
        <f t="shared" ref="Q21:Q40" si="4">+C21-15018.5</f>
        <v>27591.557999999997</v>
      </c>
      <c r="R21"/>
      <c r="S21"/>
      <c r="T21"/>
      <c r="U21"/>
      <c r="V21"/>
    </row>
    <row r="22" spans="1:31" s="10" customFormat="1" x14ac:dyDescent="0.2">
      <c r="A22" s="10" t="s">
        <v>32</v>
      </c>
      <c r="C22" s="11">
        <v>42610.058100000002</v>
      </c>
      <c r="D22" s="11"/>
      <c r="E22" s="10">
        <f t="shared" si="0"/>
        <v>-8.7230035850041875E-3</v>
      </c>
      <c r="F22" s="10">
        <f t="shared" si="1"/>
        <v>0</v>
      </c>
      <c r="G22" s="10">
        <f t="shared" si="2"/>
        <v>-1.1899999997694977E-2</v>
      </c>
      <c r="I22" s="10">
        <f>G22</f>
        <v>-1.1899999997694977E-2</v>
      </c>
      <c r="O22" s="10">
        <f t="shared" ca="1" si="3"/>
        <v>-6.8941476037045757E-3</v>
      </c>
      <c r="Q22" s="12">
        <f t="shared" si="4"/>
        <v>27591.558100000002</v>
      </c>
      <c r="R22" s="13" t="s">
        <v>33</v>
      </c>
    </row>
    <row r="23" spans="1:31" s="10" customFormat="1" x14ac:dyDescent="0.2">
      <c r="A23" s="10" t="s">
        <v>15</v>
      </c>
      <c r="C23" s="11">
        <v>42610.07</v>
      </c>
      <c r="D23" s="11" t="s">
        <v>17</v>
      </c>
      <c r="E23" s="10">
        <f t="shared" si="0"/>
        <v>0</v>
      </c>
      <c r="F23" s="10">
        <f t="shared" si="1"/>
        <v>0</v>
      </c>
      <c r="G23" s="10">
        <f t="shared" si="2"/>
        <v>0</v>
      </c>
      <c r="I23" s="10">
        <f>+G23</f>
        <v>0</v>
      </c>
      <c r="O23" s="10">
        <f t="shared" ca="1" si="3"/>
        <v>-6.8941476037045757E-3</v>
      </c>
      <c r="Q23" s="12">
        <f t="shared" si="4"/>
        <v>27591.57</v>
      </c>
    </row>
    <row r="24" spans="1:31" s="10" customFormat="1" x14ac:dyDescent="0.2">
      <c r="A24" s="10" t="s">
        <v>32</v>
      </c>
      <c r="C24" s="11">
        <v>42957.909</v>
      </c>
      <c r="D24" s="11"/>
      <c r="E24" s="10">
        <f t="shared" si="0"/>
        <v>254.97486089008351</v>
      </c>
      <c r="F24" s="10">
        <f t="shared" si="1"/>
        <v>255</v>
      </c>
      <c r="G24" s="10">
        <f t="shared" si="2"/>
        <v>-3.4294999997655395E-2</v>
      </c>
      <c r="I24" s="10">
        <f>G24</f>
        <v>-3.4294999997655395E-2</v>
      </c>
      <c r="O24" s="10">
        <f t="shared" ca="1" si="3"/>
        <v>-1.0818679418560776E-2</v>
      </c>
      <c r="Q24" s="12">
        <f t="shared" si="4"/>
        <v>27939.409</v>
      </c>
    </row>
    <row r="25" spans="1:31" s="10" customFormat="1" x14ac:dyDescent="0.2">
      <c r="A25" s="10" t="s">
        <v>32</v>
      </c>
      <c r="C25" s="11">
        <v>47368.392</v>
      </c>
      <c r="D25" s="11"/>
      <c r="E25" s="10">
        <f t="shared" si="0"/>
        <v>3487.9714178692561</v>
      </c>
      <c r="F25" s="10">
        <f t="shared" si="1"/>
        <v>3488</v>
      </c>
      <c r="G25" s="10">
        <f t="shared" si="2"/>
        <v>-3.8992000001599081E-2</v>
      </c>
      <c r="I25" s="10">
        <f>G25</f>
        <v>-3.8992000001599081E-2</v>
      </c>
      <c r="O25" s="10">
        <f t="shared" ca="1" si="3"/>
        <v>-6.0575586702600367E-2</v>
      </c>
      <c r="Q25" s="12">
        <f t="shared" si="4"/>
        <v>32349.892</v>
      </c>
    </row>
    <row r="26" spans="1:31" s="10" customFormat="1" x14ac:dyDescent="0.2">
      <c r="A26" s="10" t="s">
        <v>34</v>
      </c>
      <c r="C26" s="11">
        <v>48062.746400000004</v>
      </c>
      <c r="D26" s="11">
        <v>2.9999999999999997E-4</v>
      </c>
      <c r="E26" s="10">
        <f t="shared" si="0"/>
        <v>3996.950907082422</v>
      </c>
      <c r="F26" s="10">
        <f t="shared" si="1"/>
        <v>3997</v>
      </c>
      <c r="G26" s="10">
        <f t="shared" si="2"/>
        <v>-6.6972999993595295E-2</v>
      </c>
      <c r="J26" s="10">
        <f>G26</f>
        <v>-6.6972999993595295E-2</v>
      </c>
      <c r="O26" s="10">
        <f t="shared" ca="1" si="3"/>
        <v>-6.8409260011470185E-2</v>
      </c>
      <c r="Q26" s="12">
        <f t="shared" si="4"/>
        <v>33044.246400000004</v>
      </c>
    </row>
    <row r="27" spans="1:31" s="10" customFormat="1" x14ac:dyDescent="0.2">
      <c r="A27" s="10" t="s">
        <v>34</v>
      </c>
      <c r="C27" s="11">
        <v>48066.841699999997</v>
      </c>
      <c r="D27" s="11">
        <v>5.9999999999999995E-4</v>
      </c>
      <c r="E27" s="10">
        <f t="shared" si="0"/>
        <v>3999.9528664596096</v>
      </c>
      <c r="F27" s="10">
        <f t="shared" si="1"/>
        <v>4000</v>
      </c>
      <c r="G27" s="10">
        <f t="shared" si="2"/>
        <v>-6.4300000005459879E-2</v>
      </c>
      <c r="J27" s="10">
        <f>G27</f>
        <v>-6.4300000005459879E-2</v>
      </c>
      <c r="O27" s="10">
        <f t="shared" ca="1" si="3"/>
        <v>-6.8455430973997922E-2</v>
      </c>
      <c r="Q27" s="12">
        <f t="shared" si="4"/>
        <v>33048.341699999997</v>
      </c>
    </row>
    <row r="28" spans="1:31" s="10" customFormat="1" x14ac:dyDescent="0.2">
      <c r="A28" s="10" t="s">
        <v>34</v>
      </c>
      <c r="C28" s="11">
        <v>48071.612500000003</v>
      </c>
      <c r="D28" s="11">
        <v>1.5E-3</v>
      </c>
      <c r="E28" s="10">
        <f t="shared" si="0"/>
        <v>4003.4499845698151</v>
      </c>
      <c r="F28" s="10">
        <f t="shared" si="1"/>
        <v>4003.5</v>
      </c>
      <c r="G28" s="10">
        <f t="shared" si="2"/>
        <v>-6.8231499993999023E-2</v>
      </c>
      <c r="J28" s="10">
        <f>G28</f>
        <v>-6.8231499993999023E-2</v>
      </c>
      <c r="O28" s="10">
        <f t="shared" ca="1" si="3"/>
        <v>-6.8509297096946919E-2</v>
      </c>
      <c r="Q28" s="12">
        <f t="shared" si="4"/>
        <v>33053.112500000003</v>
      </c>
    </row>
    <row r="29" spans="1:31" s="10" customFormat="1" x14ac:dyDescent="0.2">
      <c r="A29" s="10" t="s">
        <v>38</v>
      </c>
      <c r="C29" s="11">
        <v>48814.421900000001</v>
      </c>
      <c r="D29" s="11">
        <v>2.9999999999999997E-4</v>
      </c>
      <c r="E29" s="10">
        <f t="shared" si="0"/>
        <v>4547.9482249420735</v>
      </c>
      <c r="F29" s="10">
        <f t="shared" si="1"/>
        <v>4548</v>
      </c>
      <c r="G29" s="10">
        <f t="shared" si="2"/>
        <v>-7.0631999995384831E-2</v>
      </c>
      <c r="J29" s="10">
        <f>+G29</f>
        <v>-7.0631999995384831E-2</v>
      </c>
      <c r="O29" s="10">
        <f t="shared" ca="1" si="3"/>
        <v>-7.6889326795728102E-2</v>
      </c>
      <c r="Q29" s="12">
        <f t="shared" si="4"/>
        <v>33795.921900000001</v>
      </c>
      <c r="R29" s="14" t="s">
        <v>39</v>
      </c>
    </row>
    <row r="30" spans="1:31" s="10" customFormat="1" x14ac:dyDescent="0.2">
      <c r="A30" s="10" t="s">
        <v>38</v>
      </c>
      <c r="C30" s="11">
        <v>49524.475700000003</v>
      </c>
      <c r="D30" s="11">
        <v>5.0000000000000001E-4</v>
      </c>
      <c r="E30" s="10">
        <f t="shared" si="0"/>
        <v>5068.4357748702751</v>
      </c>
      <c r="F30" s="10">
        <f t="shared" si="1"/>
        <v>5068.5</v>
      </c>
      <c r="G30" s="10">
        <f t="shared" si="2"/>
        <v>-8.761650000087684E-2</v>
      </c>
      <c r="J30" s="10">
        <f>+G30</f>
        <v>-8.761650000087684E-2</v>
      </c>
      <c r="O30" s="10">
        <f t="shared" ca="1" si="3"/>
        <v>-8.489998879428752E-2</v>
      </c>
      <c r="Q30" s="12">
        <f t="shared" si="4"/>
        <v>34505.975700000003</v>
      </c>
      <c r="AA30" s="10">
        <v>10</v>
      </c>
      <c r="AC30" s="10" t="s">
        <v>28</v>
      </c>
      <c r="AE30" s="10" t="s">
        <v>30</v>
      </c>
    </row>
    <row r="31" spans="1:31" x14ac:dyDescent="0.2">
      <c r="A31" s="10" t="s">
        <v>29</v>
      </c>
      <c r="B31" s="15" t="s">
        <v>31</v>
      </c>
      <c r="C31" s="11">
        <v>49569.499000000003</v>
      </c>
      <c r="D31" s="11">
        <v>3.0000000000000001E-3</v>
      </c>
      <c r="E31" s="10">
        <f t="shared" si="0"/>
        <v>5101.4390023816022</v>
      </c>
      <c r="F31" s="10">
        <f t="shared" si="1"/>
        <v>5101.5</v>
      </c>
      <c r="G31" s="10">
        <f t="shared" si="2"/>
        <v>-8.321349999459926E-2</v>
      </c>
      <c r="H31" s="10"/>
      <c r="I31" s="10">
        <f>+G31</f>
        <v>-8.321349999459926E-2</v>
      </c>
      <c r="J31" s="10"/>
      <c r="K31" s="10"/>
      <c r="L31" s="10"/>
      <c r="M31" s="10"/>
      <c r="N31" s="10"/>
      <c r="O31" s="10">
        <f t="shared" ca="1" si="3"/>
        <v>-8.5407869382092438E-2</v>
      </c>
      <c r="P31" s="10"/>
      <c r="Q31" s="12">
        <f t="shared" si="4"/>
        <v>34550.999000000003</v>
      </c>
      <c r="R31" s="10"/>
      <c r="S31" s="10"/>
      <c r="T31" s="10"/>
      <c r="U31" s="10"/>
      <c r="V31" s="10"/>
    </row>
    <row r="32" spans="1:31" x14ac:dyDescent="0.2">
      <c r="A32" s="21" t="s">
        <v>113</v>
      </c>
      <c r="B32" s="4" t="s">
        <v>31</v>
      </c>
      <c r="C32" s="37">
        <v>53984.028100000003</v>
      </c>
      <c r="D32" s="37" t="s">
        <v>52</v>
      </c>
      <c r="E32" s="10">
        <f t="shared" si="0"/>
        <v>8337.4014538828014</v>
      </c>
      <c r="F32" s="10">
        <f t="shared" si="1"/>
        <v>8337.5</v>
      </c>
      <c r="G32" s="10">
        <f t="shared" si="2"/>
        <v>-0.13443749999714782</v>
      </c>
      <c r="H32" s="10"/>
      <c r="I32" s="10">
        <f>G32</f>
        <v>-0.13443749999714782</v>
      </c>
      <c r="J32" s="10"/>
      <c r="L32" s="10"/>
      <c r="M32" s="10"/>
      <c r="N32" s="10">
        <f t="shared" ref="N32:N40" si="5">+G32</f>
        <v>-0.13443749999714782</v>
      </c>
      <c r="O32" s="10">
        <f t="shared" ca="1" si="3"/>
        <v>-0.13521094762865976</v>
      </c>
      <c r="P32" s="10"/>
      <c r="Q32" s="12">
        <f t="shared" si="4"/>
        <v>38965.528100000003</v>
      </c>
    </row>
    <row r="33" spans="1:17" x14ac:dyDescent="0.2">
      <c r="A33" s="21" t="s">
        <v>119</v>
      </c>
      <c r="B33" s="4" t="s">
        <v>49</v>
      </c>
      <c r="C33" s="37">
        <v>55388.466399999998</v>
      </c>
      <c r="D33" s="37" t="s">
        <v>52</v>
      </c>
      <c r="E33" s="10">
        <f t="shared" si="0"/>
        <v>9366.890557092056</v>
      </c>
      <c r="F33" s="10">
        <f t="shared" si="1"/>
        <v>9367</v>
      </c>
      <c r="G33" s="10">
        <f t="shared" si="2"/>
        <v>-0.14930300000560237</v>
      </c>
      <c r="H33" s="10"/>
      <c r="J33" s="10"/>
      <c r="K33" s="10">
        <f>G33</f>
        <v>-0.14930300000560237</v>
      </c>
      <c r="L33" s="10"/>
      <c r="M33" s="10"/>
      <c r="N33" s="10">
        <f t="shared" si="5"/>
        <v>-0.14930300000560237</v>
      </c>
      <c r="O33" s="10">
        <f t="shared" ca="1" si="3"/>
        <v>-0.151055282936089</v>
      </c>
      <c r="P33" s="10"/>
      <c r="Q33" s="12">
        <f t="shared" si="4"/>
        <v>40369.966399999998</v>
      </c>
    </row>
    <row r="34" spans="1:17" x14ac:dyDescent="0.2">
      <c r="A34" s="33" t="s">
        <v>48</v>
      </c>
      <c r="B34" s="34" t="s">
        <v>49</v>
      </c>
      <c r="C34" s="35">
        <v>55388.466489999999</v>
      </c>
      <c r="D34" s="35">
        <v>1.5E-3</v>
      </c>
      <c r="E34" s="10">
        <f t="shared" si="0"/>
        <v>9366.8906230643533</v>
      </c>
      <c r="F34" s="10">
        <f t="shared" si="1"/>
        <v>9367</v>
      </c>
      <c r="G34" s="10">
        <f t="shared" si="2"/>
        <v>-0.14921300000423798</v>
      </c>
      <c r="H34" s="10"/>
      <c r="J34" s="10"/>
      <c r="K34" s="10">
        <f>G34</f>
        <v>-0.14921300000423798</v>
      </c>
      <c r="L34" s="10"/>
      <c r="M34" s="10"/>
      <c r="N34" s="10">
        <f t="shared" si="5"/>
        <v>-0.14921300000423798</v>
      </c>
      <c r="O34" s="10">
        <f t="shared" ca="1" si="3"/>
        <v>-0.151055282936089</v>
      </c>
      <c r="P34" s="10"/>
      <c r="Q34" s="12">
        <f t="shared" si="4"/>
        <v>40369.966489999999</v>
      </c>
    </row>
    <row r="35" spans="1:17" x14ac:dyDescent="0.2">
      <c r="A35" s="21" t="s">
        <v>119</v>
      </c>
      <c r="B35" s="4" t="s">
        <v>49</v>
      </c>
      <c r="C35" s="37">
        <v>55388.467499999999</v>
      </c>
      <c r="D35" s="37" t="s">
        <v>52</v>
      </c>
      <c r="E35" s="10">
        <f t="shared" si="0"/>
        <v>9366.8913634201199</v>
      </c>
      <c r="F35" s="10">
        <f t="shared" si="1"/>
        <v>9367</v>
      </c>
      <c r="G35" s="10">
        <f t="shared" si="2"/>
        <v>-0.14820300000428688</v>
      </c>
      <c r="H35" s="10"/>
      <c r="J35" s="10"/>
      <c r="K35" s="10">
        <f>G35</f>
        <v>-0.14820300000428688</v>
      </c>
      <c r="L35" s="10"/>
      <c r="M35" s="10"/>
      <c r="N35" s="10">
        <f t="shared" si="5"/>
        <v>-0.14820300000428688</v>
      </c>
      <c r="O35" s="10">
        <f t="shared" ca="1" si="3"/>
        <v>-0.151055282936089</v>
      </c>
      <c r="P35" s="10"/>
      <c r="Q35" s="12">
        <f t="shared" si="4"/>
        <v>40369.967499999999</v>
      </c>
    </row>
    <row r="36" spans="1:17" x14ac:dyDescent="0.2">
      <c r="A36" s="33" t="s">
        <v>48</v>
      </c>
      <c r="B36" s="34" t="s">
        <v>49</v>
      </c>
      <c r="C36" s="35">
        <v>55388.467530000002</v>
      </c>
      <c r="D36" s="35">
        <v>1.6999999999999999E-3</v>
      </c>
      <c r="E36" s="10">
        <f t="shared" si="0"/>
        <v>9366.8913854108887</v>
      </c>
      <c r="F36" s="10">
        <f t="shared" si="1"/>
        <v>9367</v>
      </c>
      <c r="G36" s="10">
        <f t="shared" si="2"/>
        <v>-0.14817300000140676</v>
      </c>
      <c r="H36" s="10"/>
      <c r="J36" s="10"/>
      <c r="K36" s="10">
        <f>G36</f>
        <v>-0.14817300000140676</v>
      </c>
      <c r="L36" s="10"/>
      <c r="M36" s="10"/>
      <c r="N36" s="10">
        <f t="shared" si="5"/>
        <v>-0.14817300000140676</v>
      </c>
      <c r="O36" s="10">
        <f t="shared" ca="1" si="3"/>
        <v>-0.151055282936089</v>
      </c>
      <c r="P36" s="10"/>
      <c r="Q36" s="12">
        <f t="shared" si="4"/>
        <v>40369.967530000002</v>
      </c>
    </row>
    <row r="37" spans="1:17" x14ac:dyDescent="0.2">
      <c r="A37" s="33" t="s">
        <v>48</v>
      </c>
      <c r="B37" s="34" t="s">
        <v>49</v>
      </c>
      <c r="C37" s="35">
        <v>55388.468200000003</v>
      </c>
      <c r="D37" s="35">
        <v>1.2999999999999999E-3</v>
      </c>
      <c r="E37" s="10">
        <f t="shared" si="0"/>
        <v>9366.8918765379822</v>
      </c>
      <c r="F37" s="10">
        <f t="shared" si="1"/>
        <v>9367</v>
      </c>
      <c r="G37" s="10">
        <f t="shared" si="2"/>
        <v>-0.14750300000014249</v>
      </c>
      <c r="H37" s="10"/>
      <c r="J37" s="10"/>
      <c r="K37" s="10">
        <f>G37</f>
        <v>-0.14750300000014249</v>
      </c>
      <c r="L37" s="10"/>
      <c r="M37" s="10"/>
      <c r="N37" s="10">
        <f t="shared" si="5"/>
        <v>-0.14750300000014249</v>
      </c>
      <c r="O37" s="10">
        <f t="shared" ca="1" si="3"/>
        <v>-0.151055282936089</v>
      </c>
      <c r="P37" s="10"/>
      <c r="Q37" s="12">
        <f t="shared" si="4"/>
        <v>40369.968200000003</v>
      </c>
    </row>
    <row r="38" spans="1:17" x14ac:dyDescent="0.2">
      <c r="A38" s="21" t="s">
        <v>132</v>
      </c>
      <c r="B38" s="4" t="s">
        <v>31</v>
      </c>
      <c r="C38" s="37">
        <v>55741.105000000003</v>
      </c>
      <c r="D38" s="37" t="s">
        <v>52</v>
      </c>
      <c r="E38" s="10">
        <f t="shared" si="0"/>
        <v>9625.3836472270777</v>
      </c>
      <c r="F38" s="10">
        <f t="shared" si="1"/>
        <v>9625.5</v>
      </c>
      <c r="G38" s="10">
        <f t="shared" si="2"/>
        <v>-0.1587294999990263</v>
      </c>
      <c r="H38" s="10"/>
      <c r="I38" s="10">
        <f>G38</f>
        <v>-0.1587294999990263</v>
      </c>
      <c r="J38" s="10"/>
      <c r="L38" s="10"/>
      <c r="M38" s="10"/>
      <c r="N38" s="10">
        <f t="shared" si="5"/>
        <v>-0.1587294999990263</v>
      </c>
      <c r="O38" s="10">
        <f t="shared" ca="1" si="3"/>
        <v>-0.15503368087389421</v>
      </c>
      <c r="P38" s="10"/>
      <c r="Q38" s="12">
        <f t="shared" si="4"/>
        <v>40722.605000000003</v>
      </c>
    </row>
    <row r="39" spans="1:17" x14ac:dyDescent="0.2">
      <c r="A39" s="21" t="s">
        <v>132</v>
      </c>
      <c r="B39" s="4" t="s">
        <v>49</v>
      </c>
      <c r="C39" s="37">
        <v>55754.0694</v>
      </c>
      <c r="D39" s="37" t="s">
        <v>52</v>
      </c>
      <c r="E39" s="10">
        <f t="shared" si="0"/>
        <v>9634.8868831681957</v>
      </c>
      <c r="F39" s="10">
        <f t="shared" si="1"/>
        <v>9635</v>
      </c>
      <c r="G39" s="10">
        <f t="shared" si="2"/>
        <v>-0.1543149999997695</v>
      </c>
      <c r="H39" s="10"/>
      <c r="I39" s="10">
        <f>G39</f>
        <v>-0.1543149999997695</v>
      </c>
      <c r="J39" s="10"/>
      <c r="L39" s="10"/>
      <c r="M39" s="10"/>
      <c r="N39" s="10">
        <f t="shared" si="5"/>
        <v>-0.1543149999997695</v>
      </c>
      <c r="O39" s="10">
        <f t="shared" ca="1" si="3"/>
        <v>-0.15517988892189866</v>
      </c>
      <c r="P39" s="10"/>
      <c r="Q39" s="12">
        <f t="shared" si="4"/>
        <v>40735.5694</v>
      </c>
    </row>
    <row r="40" spans="1:17" x14ac:dyDescent="0.2">
      <c r="A40" s="50" t="s">
        <v>50</v>
      </c>
      <c r="B40" s="51" t="s">
        <v>49</v>
      </c>
      <c r="C40" s="52">
        <v>57201.482000000004</v>
      </c>
      <c r="D40" s="52">
        <v>4.0000000000000001E-3</v>
      </c>
      <c r="E40" s="10">
        <f t="shared" si="0"/>
        <v>10695.877244615747</v>
      </c>
      <c r="F40" s="10">
        <f t="shared" si="1"/>
        <v>10696</v>
      </c>
      <c r="G40" s="10">
        <f t="shared" si="2"/>
        <v>-0.16746399999829009</v>
      </c>
      <c r="H40" s="10"/>
      <c r="I40" s="10">
        <f>G40</f>
        <v>-0.16746399999829009</v>
      </c>
      <c r="J40" s="10"/>
      <c r="L40" s="10"/>
      <c r="M40" s="10"/>
      <c r="N40" s="10">
        <f t="shared" si="5"/>
        <v>-0.16746399999829009</v>
      </c>
      <c r="O40" s="10">
        <f t="shared" ca="1" si="3"/>
        <v>-0.17150901933586896</v>
      </c>
      <c r="P40" s="10"/>
      <c r="Q40" s="12">
        <f t="shared" si="4"/>
        <v>42182.982000000004</v>
      </c>
    </row>
    <row r="41" spans="1:17" x14ac:dyDescent="0.2">
      <c r="A41" s="53" t="s">
        <v>2</v>
      </c>
      <c r="B41" s="54" t="s">
        <v>49</v>
      </c>
      <c r="C41" s="55">
        <v>57257.407899999998</v>
      </c>
      <c r="D41" s="55">
        <v>1.03E-2</v>
      </c>
      <c r="E41" s="10">
        <f>+(C41-C$7)/C$8</f>
        <v>10736.872356068607</v>
      </c>
      <c r="F41" s="10">
        <f t="shared" si="1"/>
        <v>10737</v>
      </c>
      <c r="G41" s="10">
        <f>+C41-(C$7+F41*C$8)</f>
        <v>-0.17413300000043819</v>
      </c>
      <c r="H41" s="10"/>
      <c r="J41" s="10"/>
      <c r="K41" s="10">
        <f>G41</f>
        <v>-0.17413300000043819</v>
      </c>
      <c r="L41" s="10"/>
      <c r="M41" s="10"/>
      <c r="N41" s="10">
        <f>+G41</f>
        <v>-0.17413300000043819</v>
      </c>
      <c r="O41" s="10">
        <f ca="1">+C$11+C$12*F41</f>
        <v>-0.17214002249041446</v>
      </c>
      <c r="P41" s="10"/>
      <c r="Q41" s="12">
        <f>+C41-15018.5</f>
        <v>42238.907899999998</v>
      </c>
    </row>
    <row r="42" spans="1:17" x14ac:dyDescent="0.2">
      <c r="A42" s="56" t="s">
        <v>1</v>
      </c>
      <c r="B42" s="57" t="s">
        <v>49</v>
      </c>
      <c r="C42" s="58">
        <v>57949.056299999997</v>
      </c>
      <c r="D42" s="59" t="s">
        <v>130</v>
      </c>
      <c r="E42" s="10">
        <f>+(C42-C$7)/C$8</f>
        <v>11243.868278247686</v>
      </c>
      <c r="F42" s="10">
        <f t="shared" si="1"/>
        <v>11244</v>
      </c>
      <c r="G42" s="10">
        <f>+C42-(C$7+F42*C$8)</f>
        <v>-0.17969600000651553</v>
      </c>
      <c r="H42" s="10"/>
      <c r="J42" s="10"/>
      <c r="K42" s="10">
        <f>G42</f>
        <v>-0.17969600000651553</v>
      </c>
      <c r="L42" s="10"/>
      <c r="M42" s="10"/>
      <c r="N42" s="10">
        <f>+G42</f>
        <v>-0.17969600000651553</v>
      </c>
      <c r="O42" s="10">
        <f ca="1">+C$11+C$12*F42</f>
        <v>-0.17994291515759914</v>
      </c>
      <c r="P42" s="10"/>
      <c r="Q42" s="12">
        <f>+C42-15018.5</f>
        <v>42930.556299999997</v>
      </c>
    </row>
    <row r="43" spans="1:17" x14ac:dyDescent="0.2">
      <c r="A43" s="60" t="s">
        <v>0</v>
      </c>
      <c r="B43" s="61" t="s">
        <v>49</v>
      </c>
      <c r="C43" s="62">
        <v>57939.508199999997</v>
      </c>
      <c r="D43" s="62">
        <v>2E-3</v>
      </c>
      <c r="E43" s="10">
        <f>+(C43-C$7)/C$8</f>
        <v>11236.869277361458</v>
      </c>
      <c r="F43" s="10">
        <f t="shared" si="1"/>
        <v>11237</v>
      </c>
      <c r="G43" s="10">
        <f>+C43-(C$7+F43*C$8)</f>
        <v>-0.17833300000347663</v>
      </c>
      <c r="H43" s="10"/>
      <c r="J43" s="10"/>
      <c r="K43" s="10">
        <f>G43</f>
        <v>-0.17833300000347663</v>
      </c>
      <c r="L43" s="10"/>
      <c r="M43" s="10"/>
      <c r="N43" s="10">
        <f>+G43</f>
        <v>-0.17833300000347663</v>
      </c>
      <c r="O43" s="10">
        <f ca="1">+C$11+C$12*F43</f>
        <v>-0.17983518291170114</v>
      </c>
      <c r="P43" s="10"/>
      <c r="Q43" s="12">
        <f>+C43-15018.5</f>
        <v>42921.008199999997</v>
      </c>
    </row>
    <row r="44" spans="1:17" x14ac:dyDescent="0.2">
      <c r="A44" s="63" t="s">
        <v>144</v>
      </c>
      <c r="B44" s="64" t="s">
        <v>49</v>
      </c>
      <c r="C44" s="65">
        <v>59381.461999999825</v>
      </c>
      <c r="D44" s="63">
        <v>0.01</v>
      </c>
      <c r="E44" s="10">
        <f t="shared" ref="E44:E46" si="6">+(C44-C$7)/C$8</f>
        <v>12293.858199146776</v>
      </c>
      <c r="F44" s="10">
        <f t="shared" ref="F44:F46" si="7">ROUND(2*E44,0)/2</f>
        <v>12294</v>
      </c>
      <c r="G44" s="10">
        <f t="shared" ref="G44:G46" si="8">+C44-(C$7+F44*C$8)</f>
        <v>-0.19344600017939229</v>
      </c>
      <c r="H44" s="10"/>
      <c r="J44" s="10"/>
      <c r="K44" s="10">
        <f t="shared" ref="K44:K46" si="9">G44</f>
        <v>-0.19344600017939229</v>
      </c>
      <c r="L44" s="10"/>
      <c r="M44" s="10"/>
      <c r="N44" s="10">
        <f t="shared" ref="N44:N46" si="10">+G44</f>
        <v>-0.19344600017939229</v>
      </c>
      <c r="O44" s="10">
        <f t="shared" ref="O44:O46" ca="1" si="11">+C$11+C$12*F44</f>
        <v>-0.19610275204230115</v>
      </c>
      <c r="P44" s="10"/>
      <c r="Q44" s="12">
        <f t="shared" ref="Q44:Q46" si="12">+C44-15018.5</f>
        <v>44362.961999999825</v>
      </c>
    </row>
    <row r="45" spans="1:17" x14ac:dyDescent="0.2">
      <c r="A45" s="63" t="s">
        <v>145</v>
      </c>
      <c r="B45" s="64" t="s">
        <v>49</v>
      </c>
      <c r="C45" s="65">
        <v>59421.007999999914</v>
      </c>
      <c r="D45" s="63"/>
      <c r="E45" s="10">
        <f t="shared" si="6"/>
        <v>12322.846426024102</v>
      </c>
      <c r="F45" s="10">
        <f t="shared" si="7"/>
        <v>12323</v>
      </c>
      <c r="G45" s="10">
        <f t="shared" si="8"/>
        <v>-0.20950700008688727</v>
      </c>
      <c r="H45" s="10"/>
      <c r="J45" s="10"/>
      <c r="K45" s="10">
        <f t="shared" si="9"/>
        <v>-0.20950700008688727</v>
      </c>
      <c r="L45" s="10"/>
      <c r="M45" s="10"/>
      <c r="N45" s="10">
        <f t="shared" si="10"/>
        <v>-0.20950700008688727</v>
      </c>
      <c r="O45" s="10">
        <f t="shared" ca="1" si="11"/>
        <v>-0.19654907134673577</v>
      </c>
      <c r="P45" s="10"/>
      <c r="Q45" s="12">
        <f t="shared" si="12"/>
        <v>44402.507999999914</v>
      </c>
    </row>
    <row r="46" spans="1:17" x14ac:dyDescent="0.2">
      <c r="A46" s="63" t="s">
        <v>145</v>
      </c>
      <c r="B46" s="64" t="s">
        <v>49</v>
      </c>
      <c r="C46" s="65">
        <v>59421.009000000078</v>
      </c>
      <c r="D46" s="63"/>
      <c r="E46" s="10">
        <f t="shared" si="6"/>
        <v>12322.847159049734</v>
      </c>
      <c r="F46" s="10">
        <f t="shared" si="7"/>
        <v>12323</v>
      </c>
      <c r="G46" s="10">
        <f t="shared" si="8"/>
        <v>-0.2085069999229745</v>
      </c>
      <c r="H46" s="10"/>
      <c r="J46" s="10"/>
      <c r="K46" s="10">
        <f t="shared" si="9"/>
        <v>-0.2085069999229745</v>
      </c>
      <c r="L46" s="10"/>
      <c r="M46" s="10"/>
      <c r="N46" s="10">
        <f t="shared" si="10"/>
        <v>-0.2085069999229745</v>
      </c>
      <c r="O46" s="10">
        <f t="shared" ca="1" si="11"/>
        <v>-0.19654907134673577</v>
      </c>
      <c r="P46" s="10"/>
      <c r="Q46" s="12">
        <f t="shared" si="12"/>
        <v>44402.509000000078</v>
      </c>
    </row>
    <row r="47" spans="1:17" x14ac:dyDescent="0.2">
      <c r="A47" s="66" t="s">
        <v>146</v>
      </c>
      <c r="B47" s="67" t="s">
        <v>49</v>
      </c>
      <c r="C47" s="68">
        <v>59762.070499999914</v>
      </c>
      <c r="E47" s="10">
        <f t="shared" ref="E47" si="13">+(C47-C$7)/C$8</f>
        <v>12572.853939535595</v>
      </c>
      <c r="F47" s="10">
        <f t="shared" ref="F47" si="14">ROUND(2*E47,0)/2</f>
        <v>12573</v>
      </c>
      <c r="G47" s="10">
        <f t="shared" ref="G47" si="15">+C47-(C$7+F47*C$8)</f>
        <v>-0.19925700008752756</v>
      </c>
      <c r="H47" s="10"/>
      <c r="J47" s="10"/>
      <c r="K47" s="10">
        <f t="shared" ref="K47" si="16">G47</f>
        <v>-0.19925700008752756</v>
      </c>
      <c r="L47" s="10"/>
      <c r="M47" s="10"/>
      <c r="N47" s="10">
        <f t="shared" ref="N47" si="17">+G47</f>
        <v>-0.19925700008752756</v>
      </c>
      <c r="O47" s="10">
        <f t="shared" ref="O47" ca="1" si="18">+C$11+C$12*F47</f>
        <v>-0.2003966515573791</v>
      </c>
      <c r="P47" s="10"/>
      <c r="Q47" s="12">
        <f t="shared" ref="Q47" si="19">+C47-15018.5</f>
        <v>44743.570499999914</v>
      </c>
    </row>
  </sheetData>
  <phoneticPr fontId="8" type="noConversion"/>
  <hyperlinks>
    <hyperlink ref="R22" r:id="rId1" display="http://simbad.u-strasbg.fr/cgi-bin/cdsbib?1991BAICz..42..225M" xr:uid="{00000000-0004-0000-0000-000000000000}"/>
    <hyperlink ref="H3385" r:id="rId2" display="http://vsolj.cetus-net.org/bulletin.html" xr:uid="{00000000-0004-0000-0000-000001000000}"/>
    <hyperlink ref="H64829" r:id="rId3" display="http://vsolj.cetus-net.org/bulletin.html" xr:uid="{00000000-0004-0000-0000-000002000000}"/>
    <hyperlink ref="H64822" r:id="rId4" display="http://vsolj.cetus-net.org/bulletin.html" xr:uid="{00000000-0004-0000-0000-000003000000}"/>
    <hyperlink ref="AP2319" r:id="rId5" display="http://cdsbib.u-strasbg.fr/cgi-bin/cdsbib?1990RMxAA..21..381G" xr:uid="{00000000-0004-0000-0000-000004000000}"/>
    <hyperlink ref="AP2322" r:id="rId6" display="http://cdsbib.u-strasbg.fr/cgi-bin/cdsbib?1990RMxAA..21..381G" xr:uid="{00000000-0004-0000-0000-000005000000}"/>
    <hyperlink ref="AP2320" r:id="rId7" display="http://cdsbib.u-strasbg.fr/cgi-bin/cdsbib?1990RMxAA..21..381G" xr:uid="{00000000-0004-0000-0000-000006000000}"/>
    <hyperlink ref="AP2298" r:id="rId8" display="http://cdsbib.u-strasbg.fr/cgi-bin/cdsbib?1990RMxAA..21..381G" xr:uid="{00000000-0004-0000-0000-000007000000}"/>
    <hyperlink ref="I64829" r:id="rId9" display="http://vsolj.cetus-net.org/bulletin.html" xr:uid="{00000000-0004-0000-0000-000008000000}"/>
    <hyperlink ref="AQ2432" r:id="rId10" display="http://cdsbib.u-strasbg.fr/cgi-bin/cdsbib?1990RMxAA..21..381G" xr:uid="{00000000-0004-0000-0000-000009000000}"/>
    <hyperlink ref="AQ701" r:id="rId11" display="http://cdsbib.u-strasbg.fr/cgi-bin/cdsbib?1990RMxAA..21..381G" xr:uid="{00000000-0004-0000-0000-00000A000000}"/>
    <hyperlink ref="AQ2433" r:id="rId12" display="http://cdsbib.u-strasbg.fr/cgi-bin/cdsbib?1990RMxAA..21..381G" xr:uid="{00000000-0004-0000-0000-00000B000000}"/>
    <hyperlink ref="H64826" r:id="rId13" display="https://www.aavso.org/ejaavso" xr:uid="{00000000-0004-0000-0000-00000C000000}"/>
    <hyperlink ref="H64845" r:id="rId14" display="http://vsolj.cetus-net.org/bulletin.html" xr:uid="{00000000-0004-0000-0000-00000D000000}"/>
    <hyperlink ref="H64838" r:id="rId15" display="https://www.aavso.org/ejaavso" xr:uid="{00000000-0004-0000-0000-00000E000000}"/>
    <hyperlink ref="AP1696" r:id="rId16" display="http://cdsbib.u-strasbg.fr/cgi-bin/cdsbib?1990RMxAA..21..381G" xr:uid="{00000000-0004-0000-0000-00000F000000}"/>
    <hyperlink ref="AP1693" r:id="rId17" display="http://cdsbib.u-strasbg.fr/cgi-bin/cdsbib?1990RMxAA..21..381G" xr:uid="{00000000-0004-0000-0000-000010000000}"/>
    <hyperlink ref="AP1695" r:id="rId18" display="http://cdsbib.u-strasbg.fr/cgi-bin/cdsbib?1990RMxAA..21..381G" xr:uid="{00000000-0004-0000-0000-000011000000}"/>
    <hyperlink ref="AP1671" r:id="rId19" display="http://cdsbib.u-strasbg.fr/cgi-bin/cdsbib?1990RMxAA..21..381G" xr:uid="{00000000-0004-0000-0000-000012000000}"/>
    <hyperlink ref="I64845" r:id="rId20" display="http://vsolj.cetus-net.org/bulletin.html" xr:uid="{00000000-0004-0000-0000-000013000000}"/>
    <hyperlink ref="AQ1832" r:id="rId21" display="http://cdsbib.u-strasbg.fr/cgi-bin/cdsbib?1990RMxAA..21..381G" xr:uid="{00000000-0004-0000-0000-000014000000}"/>
    <hyperlink ref="AQ3476" r:id="rId22" display="http://cdsbib.u-strasbg.fr/cgi-bin/cdsbib?1990RMxAA..21..381G" xr:uid="{00000000-0004-0000-0000-000015000000}"/>
    <hyperlink ref="AQ1833" r:id="rId23" display="http://cdsbib.u-strasbg.fr/cgi-bin/cdsbib?1990RMxAA..21..381G" xr:uid="{00000000-0004-0000-0000-000016000000}"/>
    <hyperlink ref="H64842" r:id="rId24" display="https://www.aavso.org/ejaavso" xr:uid="{00000000-0004-0000-0000-000017000000}"/>
    <hyperlink ref="H2683" r:id="rId25" display="http://vsolj.cetus-net.org/bulletin.html" xr:uid="{00000000-0004-0000-0000-000018000000}"/>
    <hyperlink ref="AP5921" r:id="rId26" display="http://cdsbib.u-strasbg.fr/cgi-bin/cdsbib?1990RMxAA..21..381G" xr:uid="{00000000-0004-0000-0000-000019000000}"/>
    <hyperlink ref="AP5924" r:id="rId27" display="http://cdsbib.u-strasbg.fr/cgi-bin/cdsbib?1990RMxAA..21..381G" xr:uid="{00000000-0004-0000-0000-00001A000000}"/>
    <hyperlink ref="AP5922" r:id="rId28" display="http://cdsbib.u-strasbg.fr/cgi-bin/cdsbib?1990RMxAA..21..381G" xr:uid="{00000000-0004-0000-0000-00001B000000}"/>
    <hyperlink ref="AP5900" r:id="rId29" display="http://cdsbib.u-strasbg.fr/cgi-bin/cdsbib?1990RMxAA..21..381G" xr:uid="{00000000-0004-0000-0000-00001C000000}"/>
    <hyperlink ref="I2683" r:id="rId30" display="http://vsolj.cetus-net.org/bulletin.html" xr:uid="{00000000-0004-0000-0000-00001D000000}"/>
    <hyperlink ref="AQ6034" r:id="rId31" display="http://cdsbib.u-strasbg.fr/cgi-bin/cdsbib?1990RMxAA..21..381G" xr:uid="{00000000-0004-0000-0000-00001E000000}"/>
    <hyperlink ref="AQ586" r:id="rId32" display="http://cdsbib.u-strasbg.fr/cgi-bin/cdsbib?1990RMxAA..21..381G" xr:uid="{00000000-0004-0000-0000-00001F000000}"/>
    <hyperlink ref="AQ6035" r:id="rId33" display="http://cdsbib.u-strasbg.fr/cgi-bin/cdsbib?1990RMxAA..21..381G" xr:uid="{00000000-0004-0000-0000-000020000000}"/>
  </hyperlinks>
  <pageMargins left="0.75" right="0.75" top="1" bottom="1" header="0.5" footer="0.5"/>
  <pageSetup orientation="portrait" horizontalDpi="300" verticalDpi="300" r:id="rId34"/>
  <headerFooter alignWithMargins="0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9"/>
  <sheetViews>
    <sheetView topLeftCell="A4" workbookViewId="0">
      <selection activeCell="A22" sqref="A22:D27"/>
    </sheetView>
  </sheetViews>
  <sheetFormatPr defaultRowHeight="12.75" x14ac:dyDescent="0.2"/>
  <cols>
    <col min="1" max="1" width="19.7109375" style="37" customWidth="1"/>
    <col min="2" max="2" width="4.42578125" style="17" customWidth="1"/>
    <col min="3" max="3" width="12.7109375" style="37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37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6" t="s">
        <v>57</v>
      </c>
      <c r="I1" s="38" t="s">
        <v>58</v>
      </c>
      <c r="J1" s="39" t="s">
        <v>54</v>
      </c>
    </row>
    <row r="2" spans="1:16" x14ac:dyDescent="0.2">
      <c r="I2" s="40" t="s">
        <v>59</v>
      </c>
      <c r="J2" s="41" t="s">
        <v>53</v>
      </c>
    </row>
    <row r="3" spans="1:16" x14ac:dyDescent="0.2">
      <c r="A3" s="42" t="s">
        <v>60</v>
      </c>
      <c r="I3" s="40" t="s">
        <v>61</v>
      </c>
      <c r="J3" s="41" t="s">
        <v>51</v>
      </c>
    </row>
    <row r="4" spans="1:16" x14ac:dyDescent="0.2">
      <c r="I4" s="40" t="s">
        <v>62</v>
      </c>
      <c r="J4" s="41" t="s">
        <v>51</v>
      </c>
    </row>
    <row r="5" spans="1:16" ht="13.5" thickBot="1" x14ac:dyDescent="0.25">
      <c r="I5" s="43" t="s">
        <v>63</v>
      </c>
      <c r="J5" s="44" t="s">
        <v>52</v>
      </c>
    </row>
    <row r="10" spans="1:16" ht="13.5" thickBot="1" x14ac:dyDescent="0.25"/>
    <row r="11" spans="1:16" ht="12.75" customHeight="1" thickBot="1" x14ac:dyDescent="0.25">
      <c r="A11" s="37" t="str">
        <f t="shared" ref="A11:A27" si="0">P11</f>
        <v> GCVS 1985 </v>
      </c>
      <c r="B11" s="4" t="str">
        <f t="shared" ref="B11:B27" si="1">IF(H11=INT(H11),"I","II")</f>
        <v>I</v>
      </c>
      <c r="C11" s="37">
        <f t="shared" ref="C11:C27" si="2">1*G11</f>
        <v>42610.07</v>
      </c>
      <c r="D11" s="17" t="str">
        <f t="shared" ref="D11:D27" si="3">VLOOKUP(F11,I$1:J$5,2,FALSE)</f>
        <v>vis</v>
      </c>
      <c r="E11" s="45">
        <f>VLOOKUP(C11,Active!C$21:E$973,3,FALSE)</f>
        <v>0</v>
      </c>
      <c r="F11" s="4" t="s">
        <v>63</v>
      </c>
      <c r="G11" s="17" t="str">
        <f t="shared" ref="G11:G27" si="4">MID(I11,3,LEN(I11)-3)</f>
        <v>42610.070</v>
      </c>
      <c r="H11" s="37">
        <f t="shared" ref="H11:H27" si="5">1*K11</f>
        <v>-9635</v>
      </c>
      <c r="I11" s="46" t="s">
        <v>72</v>
      </c>
      <c r="J11" s="47" t="s">
        <v>73</v>
      </c>
      <c r="K11" s="46">
        <v>-9635</v>
      </c>
      <c r="L11" s="46" t="s">
        <v>74</v>
      </c>
      <c r="M11" s="47" t="s">
        <v>64</v>
      </c>
      <c r="N11" s="47"/>
      <c r="O11" s="48" t="s">
        <v>75</v>
      </c>
      <c r="P11" s="48" t="s">
        <v>76</v>
      </c>
    </row>
    <row r="12" spans="1:16" ht="12.75" customHeight="1" thickBot="1" x14ac:dyDescent="0.25">
      <c r="A12" s="37" t="str">
        <f t="shared" si="0"/>
        <v>IBVS 1306 </v>
      </c>
      <c r="B12" s="4" t="str">
        <f t="shared" si="1"/>
        <v>I</v>
      </c>
      <c r="C12" s="37">
        <f t="shared" si="2"/>
        <v>42957.909</v>
      </c>
      <c r="D12" s="17" t="str">
        <f t="shared" si="3"/>
        <v>vis</v>
      </c>
      <c r="E12" s="45">
        <f>VLOOKUP(C12,Active!C$21:E$973,3,FALSE)</f>
        <v>254.97486089008351</v>
      </c>
      <c r="F12" s="4" t="s">
        <v>63</v>
      </c>
      <c r="G12" s="17" t="str">
        <f t="shared" si="4"/>
        <v>42957.909</v>
      </c>
      <c r="H12" s="37">
        <f t="shared" si="5"/>
        <v>-9380</v>
      </c>
      <c r="I12" s="46" t="s">
        <v>77</v>
      </c>
      <c r="J12" s="47" t="s">
        <v>78</v>
      </c>
      <c r="K12" s="46">
        <v>-9380</v>
      </c>
      <c r="L12" s="46" t="s">
        <v>79</v>
      </c>
      <c r="M12" s="47" t="s">
        <v>68</v>
      </c>
      <c r="N12" s="47" t="s">
        <v>69</v>
      </c>
      <c r="O12" s="48" t="s">
        <v>80</v>
      </c>
      <c r="P12" s="49" t="s">
        <v>81</v>
      </c>
    </row>
    <row r="13" spans="1:16" ht="12.75" customHeight="1" thickBot="1" x14ac:dyDescent="0.25">
      <c r="A13" s="37" t="str">
        <f t="shared" si="0"/>
        <v> BAC 42.225 </v>
      </c>
      <c r="B13" s="4" t="str">
        <f t="shared" si="1"/>
        <v>I</v>
      </c>
      <c r="C13" s="37">
        <f t="shared" si="2"/>
        <v>47368.392</v>
      </c>
      <c r="D13" s="17" t="str">
        <f t="shared" si="3"/>
        <v>vis</v>
      </c>
      <c r="E13" s="45">
        <f>VLOOKUP(C13,Active!C$21:E$973,3,FALSE)</f>
        <v>3487.9714178692561</v>
      </c>
      <c r="F13" s="4" t="s">
        <v>63</v>
      </c>
      <c r="G13" s="17" t="str">
        <f t="shared" si="4"/>
        <v>47368.392</v>
      </c>
      <c r="H13" s="37">
        <f t="shared" si="5"/>
        <v>-6147</v>
      </c>
      <c r="I13" s="46" t="s">
        <v>82</v>
      </c>
      <c r="J13" s="47" t="s">
        <v>83</v>
      </c>
      <c r="K13" s="46">
        <v>-6147</v>
      </c>
      <c r="L13" s="46" t="s">
        <v>84</v>
      </c>
      <c r="M13" s="47" t="s">
        <v>68</v>
      </c>
      <c r="N13" s="47" t="s">
        <v>69</v>
      </c>
      <c r="O13" s="48" t="s">
        <v>85</v>
      </c>
      <c r="P13" s="48" t="s">
        <v>71</v>
      </c>
    </row>
    <row r="14" spans="1:16" ht="12.75" customHeight="1" thickBot="1" x14ac:dyDescent="0.25">
      <c r="A14" s="37" t="str">
        <f t="shared" si="0"/>
        <v>IBVS 3629 </v>
      </c>
      <c r="B14" s="4" t="str">
        <f t="shared" si="1"/>
        <v>I</v>
      </c>
      <c r="C14" s="37">
        <f t="shared" si="2"/>
        <v>48062.746400000004</v>
      </c>
      <c r="D14" s="17" t="str">
        <f t="shared" si="3"/>
        <v>vis</v>
      </c>
      <c r="E14" s="45">
        <f>VLOOKUP(C14,Active!C$21:E$973,3,FALSE)</f>
        <v>3996.950907082422</v>
      </c>
      <c r="F14" s="4" t="s">
        <v>63</v>
      </c>
      <c r="G14" s="17" t="str">
        <f t="shared" si="4"/>
        <v>48062.7464</v>
      </c>
      <c r="H14" s="37">
        <f t="shared" si="5"/>
        <v>-5638</v>
      </c>
      <c r="I14" s="46" t="s">
        <v>86</v>
      </c>
      <c r="J14" s="47" t="s">
        <v>87</v>
      </c>
      <c r="K14" s="46">
        <v>-5638</v>
      </c>
      <c r="L14" s="46" t="s">
        <v>88</v>
      </c>
      <c r="M14" s="47" t="s">
        <v>68</v>
      </c>
      <c r="N14" s="47" t="s">
        <v>69</v>
      </c>
      <c r="O14" s="48" t="s">
        <v>89</v>
      </c>
      <c r="P14" s="49" t="s">
        <v>90</v>
      </c>
    </row>
    <row r="15" spans="1:16" ht="12.75" customHeight="1" thickBot="1" x14ac:dyDescent="0.25">
      <c r="A15" s="37" t="str">
        <f t="shared" si="0"/>
        <v>IBVS 3629 </v>
      </c>
      <c r="B15" s="4" t="str">
        <f t="shared" si="1"/>
        <v>I</v>
      </c>
      <c r="C15" s="37">
        <f t="shared" si="2"/>
        <v>48066.841699999997</v>
      </c>
      <c r="D15" s="17" t="str">
        <f t="shared" si="3"/>
        <v>vis</v>
      </c>
      <c r="E15" s="45">
        <f>VLOOKUP(C15,Active!C$21:E$973,3,FALSE)</f>
        <v>3999.9528664596096</v>
      </c>
      <c r="F15" s="4" t="s">
        <v>63</v>
      </c>
      <c r="G15" s="17" t="str">
        <f t="shared" si="4"/>
        <v>48066.8417</v>
      </c>
      <c r="H15" s="37">
        <f t="shared" si="5"/>
        <v>-5635</v>
      </c>
      <c r="I15" s="46" t="s">
        <v>91</v>
      </c>
      <c r="J15" s="47" t="s">
        <v>92</v>
      </c>
      <c r="K15" s="46">
        <v>-5635</v>
      </c>
      <c r="L15" s="46" t="s">
        <v>93</v>
      </c>
      <c r="M15" s="47" t="s">
        <v>68</v>
      </c>
      <c r="N15" s="47" t="s">
        <v>69</v>
      </c>
      <c r="O15" s="48" t="s">
        <v>89</v>
      </c>
      <c r="P15" s="49" t="s">
        <v>90</v>
      </c>
    </row>
    <row r="16" spans="1:16" ht="12.75" customHeight="1" thickBot="1" x14ac:dyDescent="0.25">
      <c r="A16" s="37" t="str">
        <f t="shared" si="0"/>
        <v>IBVS 3629 </v>
      </c>
      <c r="B16" s="4" t="str">
        <f t="shared" si="1"/>
        <v>II</v>
      </c>
      <c r="C16" s="37">
        <f t="shared" si="2"/>
        <v>48071.612500000003</v>
      </c>
      <c r="D16" s="17" t="str">
        <f t="shared" si="3"/>
        <v>vis</v>
      </c>
      <c r="E16" s="45">
        <f>VLOOKUP(C16,Active!C$21:E$973,3,FALSE)</f>
        <v>4003.4499845698151</v>
      </c>
      <c r="F16" s="4" t="s">
        <v>63</v>
      </c>
      <c r="G16" s="17" t="str">
        <f t="shared" si="4"/>
        <v>48071.6125</v>
      </c>
      <c r="H16" s="37">
        <f t="shared" si="5"/>
        <v>-5631.5</v>
      </c>
      <c r="I16" s="46" t="s">
        <v>94</v>
      </c>
      <c r="J16" s="47" t="s">
        <v>95</v>
      </c>
      <c r="K16" s="46">
        <v>-5631.5</v>
      </c>
      <c r="L16" s="46" t="s">
        <v>96</v>
      </c>
      <c r="M16" s="47" t="s">
        <v>68</v>
      </c>
      <c r="N16" s="47" t="s">
        <v>69</v>
      </c>
      <c r="O16" s="48" t="s">
        <v>89</v>
      </c>
      <c r="P16" s="49" t="s">
        <v>90</v>
      </c>
    </row>
    <row r="17" spans="1:16" ht="12.75" customHeight="1" thickBot="1" x14ac:dyDescent="0.25">
      <c r="A17" s="37" t="str">
        <f t="shared" si="0"/>
        <v> AAPS 130.311 </v>
      </c>
      <c r="B17" s="4" t="str">
        <f t="shared" si="1"/>
        <v>I</v>
      </c>
      <c r="C17" s="37">
        <f t="shared" si="2"/>
        <v>48814.421900000001</v>
      </c>
      <c r="D17" s="17" t="str">
        <f t="shared" si="3"/>
        <v>vis</v>
      </c>
      <c r="E17" s="45">
        <f>VLOOKUP(C17,Active!C$21:E$973,3,FALSE)</f>
        <v>4547.9482249420735</v>
      </c>
      <c r="F17" s="4" t="s">
        <v>63</v>
      </c>
      <c r="G17" s="17" t="str">
        <f t="shared" si="4"/>
        <v>48814.4219</v>
      </c>
      <c r="H17" s="37">
        <f t="shared" si="5"/>
        <v>-5087</v>
      </c>
      <c r="I17" s="46" t="s">
        <v>97</v>
      </c>
      <c r="J17" s="47" t="s">
        <v>98</v>
      </c>
      <c r="K17" s="46">
        <v>-5087</v>
      </c>
      <c r="L17" s="46" t="s">
        <v>99</v>
      </c>
      <c r="M17" s="47" t="s">
        <v>68</v>
      </c>
      <c r="N17" s="47" t="s">
        <v>69</v>
      </c>
      <c r="O17" s="48" t="s">
        <v>85</v>
      </c>
      <c r="P17" s="48" t="s">
        <v>100</v>
      </c>
    </row>
    <row r="18" spans="1:16" ht="12.75" customHeight="1" thickBot="1" x14ac:dyDescent="0.25">
      <c r="A18" s="37" t="str">
        <f t="shared" si="0"/>
        <v> AAPS 130.311 </v>
      </c>
      <c r="B18" s="4" t="str">
        <f t="shared" si="1"/>
        <v>II</v>
      </c>
      <c r="C18" s="37">
        <f t="shared" si="2"/>
        <v>49524.475700000003</v>
      </c>
      <c r="D18" s="17" t="str">
        <f t="shared" si="3"/>
        <v>vis</v>
      </c>
      <c r="E18" s="45">
        <f>VLOOKUP(C18,Active!C$21:E$973,3,FALSE)</f>
        <v>5068.4357748702751</v>
      </c>
      <c r="F18" s="4" t="s">
        <v>63</v>
      </c>
      <c r="G18" s="17" t="str">
        <f t="shared" si="4"/>
        <v>49524.4757</v>
      </c>
      <c r="H18" s="37">
        <f t="shared" si="5"/>
        <v>-4566.5</v>
      </c>
      <c r="I18" s="46" t="s">
        <v>101</v>
      </c>
      <c r="J18" s="47" t="s">
        <v>102</v>
      </c>
      <c r="K18" s="46">
        <v>-4566.5</v>
      </c>
      <c r="L18" s="46" t="s">
        <v>103</v>
      </c>
      <c r="M18" s="47" t="s">
        <v>68</v>
      </c>
      <c r="N18" s="47" t="s">
        <v>69</v>
      </c>
      <c r="O18" s="48" t="s">
        <v>85</v>
      </c>
      <c r="P18" s="48" t="s">
        <v>100</v>
      </c>
    </row>
    <row r="19" spans="1:16" ht="12.75" customHeight="1" thickBot="1" x14ac:dyDescent="0.25">
      <c r="A19" s="37" t="str">
        <f t="shared" si="0"/>
        <v> BBS 107 </v>
      </c>
      <c r="B19" s="4" t="str">
        <f t="shared" si="1"/>
        <v>II</v>
      </c>
      <c r="C19" s="37">
        <f t="shared" si="2"/>
        <v>49569.499000000003</v>
      </c>
      <c r="D19" s="17" t="str">
        <f t="shared" si="3"/>
        <v>vis</v>
      </c>
      <c r="E19" s="45">
        <f>VLOOKUP(C19,Active!C$21:E$973,3,FALSE)</f>
        <v>5101.4390023816022</v>
      </c>
      <c r="F19" s="4" t="s">
        <v>63</v>
      </c>
      <c r="G19" s="17" t="str">
        <f t="shared" si="4"/>
        <v>49569.499</v>
      </c>
      <c r="H19" s="37">
        <f t="shared" si="5"/>
        <v>-4533.5</v>
      </c>
      <c r="I19" s="46" t="s">
        <v>104</v>
      </c>
      <c r="J19" s="47" t="s">
        <v>105</v>
      </c>
      <c r="K19" s="46">
        <v>-4533.5</v>
      </c>
      <c r="L19" s="46" t="s">
        <v>106</v>
      </c>
      <c r="M19" s="47" t="s">
        <v>68</v>
      </c>
      <c r="N19" s="47" t="s">
        <v>30</v>
      </c>
      <c r="O19" s="48" t="s">
        <v>107</v>
      </c>
      <c r="P19" s="48" t="s">
        <v>108</v>
      </c>
    </row>
    <row r="20" spans="1:16" ht="12.75" customHeight="1" thickBot="1" x14ac:dyDescent="0.25">
      <c r="A20" s="37" t="str">
        <f t="shared" si="0"/>
        <v>OEJV 0137 </v>
      </c>
      <c r="B20" s="4" t="str">
        <f t="shared" si="1"/>
        <v>I</v>
      </c>
      <c r="C20" s="37">
        <f t="shared" si="2"/>
        <v>55388.468200000003</v>
      </c>
      <c r="D20" s="17" t="str">
        <f t="shared" si="3"/>
        <v>vis</v>
      </c>
      <c r="E20" s="45">
        <f>VLOOKUP(C20,Active!C$21:E$973,3,FALSE)</f>
        <v>9366.8918765379822</v>
      </c>
      <c r="F20" s="4" t="s">
        <v>63</v>
      </c>
      <c r="G20" s="17" t="str">
        <f t="shared" si="4"/>
        <v>55388.4682</v>
      </c>
      <c r="H20" s="37">
        <f t="shared" si="5"/>
        <v>-268</v>
      </c>
      <c r="I20" s="46" t="s">
        <v>123</v>
      </c>
      <c r="J20" s="47" t="s">
        <v>124</v>
      </c>
      <c r="K20" s="46">
        <v>-268</v>
      </c>
      <c r="L20" s="46" t="s">
        <v>125</v>
      </c>
      <c r="M20" s="47" t="s">
        <v>117</v>
      </c>
      <c r="N20" s="47" t="s">
        <v>126</v>
      </c>
      <c r="O20" s="48" t="s">
        <v>118</v>
      </c>
      <c r="P20" s="49" t="s">
        <v>119</v>
      </c>
    </row>
    <row r="21" spans="1:16" ht="12.75" customHeight="1" thickBot="1" x14ac:dyDescent="0.25">
      <c r="A21" s="37" t="str">
        <f t="shared" si="0"/>
        <v>OEJV 0172 </v>
      </c>
      <c r="B21" s="4" t="str">
        <f t="shared" si="1"/>
        <v>I</v>
      </c>
      <c r="C21" s="37">
        <f t="shared" si="2"/>
        <v>57201.482000000004</v>
      </c>
      <c r="D21" s="17" t="str">
        <f t="shared" si="3"/>
        <v>vis</v>
      </c>
      <c r="E21" s="45">
        <f>VLOOKUP(C21,Active!C$21:E$973,3,FALSE)</f>
        <v>10695.877244615747</v>
      </c>
      <c r="F21" s="4" t="s">
        <v>63</v>
      </c>
      <c r="G21" s="17" t="str">
        <f t="shared" si="4"/>
        <v>57201.482</v>
      </c>
      <c r="H21" s="37">
        <f t="shared" si="5"/>
        <v>1061</v>
      </c>
      <c r="I21" s="46" t="s">
        <v>137</v>
      </c>
      <c r="J21" s="47" t="s">
        <v>138</v>
      </c>
      <c r="K21" s="46">
        <v>1061</v>
      </c>
      <c r="L21" s="46" t="s">
        <v>139</v>
      </c>
      <c r="M21" s="47" t="s">
        <v>117</v>
      </c>
      <c r="N21" s="47" t="s">
        <v>140</v>
      </c>
      <c r="O21" s="48" t="s">
        <v>141</v>
      </c>
      <c r="P21" s="49" t="s">
        <v>142</v>
      </c>
    </row>
    <row r="22" spans="1:16" ht="12.75" customHeight="1" thickBot="1" x14ac:dyDescent="0.25">
      <c r="A22" s="37" t="str">
        <f t="shared" si="0"/>
        <v> BAC 42.225 </v>
      </c>
      <c r="B22" s="4" t="str">
        <f t="shared" si="1"/>
        <v>I</v>
      </c>
      <c r="C22" s="37">
        <f t="shared" si="2"/>
        <v>42610.057999999997</v>
      </c>
      <c r="D22" s="17" t="str">
        <f t="shared" si="3"/>
        <v>vis</v>
      </c>
      <c r="E22" s="45">
        <f>VLOOKUP(C22,Active!C$21:E$973,3,FALSE)</f>
        <v>-8.7963061396345594E-3</v>
      </c>
      <c r="F22" s="4" t="s">
        <v>63</v>
      </c>
      <c r="G22" s="17" t="str">
        <f t="shared" si="4"/>
        <v>42610.058</v>
      </c>
      <c r="H22" s="37">
        <f t="shared" si="5"/>
        <v>-9635</v>
      </c>
      <c r="I22" s="46" t="s">
        <v>65</v>
      </c>
      <c r="J22" s="47" t="s">
        <v>66</v>
      </c>
      <c r="K22" s="46">
        <v>-9635</v>
      </c>
      <c r="L22" s="46" t="s">
        <v>67</v>
      </c>
      <c r="M22" s="47" t="s">
        <v>68</v>
      </c>
      <c r="N22" s="47" t="s">
        <v>69</v>
      </c>
      <c r="O22" s="48" t="s">
        <v>70</v>
      </c>
      <c r="P22" s="48" t="s">
        <v>71</v>
      </c>
    </row>
    <row r="23" spans="1:16" ht="12.75" customHeight="1" thickBot="1" x14ac:dyDescent="0.25">
      <c r="A23" s="37" t="str">
        <f t="shared" si="0"/>
        <v>VSB 45 </v>
      </c>
      <c r="B23" s="4" t="str">
        <f t="shared" si="1"/>
        <v>II</v>
      </c>
      <c r="C23" s="37">
        <f t="shared" si="2"/>
        <v>53984.028100000003</v>
      </c>
      <c r="D23" s="17" t="str">
        <f t="shared" si="3"/>
        <v>vis</v>
      </c>
      <c r="E23" s="45">
        <f>VLOOKUP(C23,Active!C$21:E$973,3,FALSE)</f>
        <v>8337.4014538828014</v>
      </c>
      <c r="F23" s="4" t="s">
        <v>63</v>
      </c>
      <c r="G23" s="17" t="str">
        <f t="shared" si="4"/>
        <v>53984.0281</v>
      </c>
      <c r="H23" s="37">
        <f t="shared" si="5"/>
        <v>-1297.5</v>
      </c>
      <c r="I23" s="46" t="s">
        <v>109</v>
      </c>
      <c r="J23" s="47" t="s">
        <v>110</v>
      </c>
      <c r="K23" s="46">
        <v>-1297.5</v>
      </c>
      <c r="L23" s="46" t="s">
        <v>111</v>
      </c>
      <c r="M23" s="47" t="s">
        <v>68</v>
      </c>
      <c r="N23" s="47" t="s">
        <v>69</v>
      </c>
      <c r="O23" s="48" t="s">
        <v>112</v>
      </c>
      <c r="P23" s="49" t="s">
        <v>113</v>
      </c>
    </row>
    <row r="24" spans="1:16" ht="12.75" customHeight="1" thickBot="1" x14ac:dyDescent="0.25">
      <c r="A24" s="37" t="str">
        <f t="shared" si="0"/>
        <v>OEJV 0137 </v>
      </c>
      <c r="B24" s="4" t="str">
        <f t="shared" si="1"/>
        <v>I</v>
      </c>
      <c r="C24" s="37">
        <f t="shared" si="2"/>
        <v>55388.466399999998</v>
      </c>
      <c r="D24" s="17" t="str">
        <f t="shared" si="3"/>
        <v>vis</v>
      </c>
      <c r="E24" s="45">
        <f>VLOOKUP(C24,Active!C$21:E$973,3,FALSE)</f>
        <v>9366.890557092056</v>
      </c>
      <c r="F24" s="4" t="s">
        <v>63</v>
      </c>
      <c r="G24" s="17" t="str">
        <f t="shared" si="4"/>
        <v>55388.4664</v>
      </c>
      <c r="H24" s="37">
        <f t="shared" si="5"/>
        <v>-268</v>
      </c>
      <c r="I24" s="46" t="s">
        <v>114</v>
      </c>
      <c r="J24" s="47" t="s">
        <v>115</v>
      </c>
      <c r="K24" s="46">
        <v>-268</v>
      </c>
      <c r="L24" s="46" t="s">
        <v>116</v>
      </c>
      <c r="M24" s="47" t="s">
        <v>117</v>
      </c>
      <c r="N24" s="47" t="s">
        <v>49</v>
      </c>
      <c r="O24" s="48" t="s">
        <v>118</v>
      </c>
      <c r="P24" s="49" t="s">
        <v>119</v>
      </c>
    </row>
    <row r="25" spans="1:16" ht="12.75" customHeight="1" thickBot="1" x14ac:dyDescent="0.25">
      <c r="A25" s="37" t="str">
        <f t="shared" si="0"/>
        <v>OEJV 0137 </v>
      </c>
      <c r="B25" s="4" t="str">
        <f t="shared" si="1"/>
        <v>I</v>
      </c>
      <c r="C25" s="37">
        <f t="shared" si="2"/>
        <v>55388.467499999999</v>
      </c>
      <c r="D25" s="17" t="str">
        <f t="shared" si="3"/>
        <v>vis</v>
      </c>
      <c r="E25" s="45">
        <f>VLOOKUP(C25,Active!C$21:E$973,3,FALSE)</f>
        <v>9366.8913634201199</v>
      </c>
      <c r="F25" s="4" t="s">
        <v>63</v>
      </c>
      <c r="G25" s="17" t="str">
        <f t="shared" si="4"/>
        <v>55388.4675</v>
      </c>
      <c r="H25" s="37">
        <f t="shared" si="5"/>
        <v>-268</v>
      </c>
      <c r="I25" s="46" t="s">
        <v>120</v>
      </c>
      <c r="J25" s="47" t="s">
        <v>121</v>
      </c>
      <c r="K25" s="46">
        <v>-268</v>
      </c>
      <c r="L25" s="46" t="s">
        <v>122</v>
      </c>
      <c r="M25" s="47" t="s">
        <v>117</v>
      </c>
      <c r="N25" s="47" t="s">
        <v>63</v>
      </c>
      <c r="O25" s="48" t="s">
        <v>118</v>
      </c>
      <c r="P25" s="49" t="s">
        <v>119</v>
      </c>
    </row>
    <row r="26" spans="1:16" ht="12.75" customHeight="1" thickBot="1" x14ac:dyDescent="0.25">
      <c r="A26" s="37" t="str">
        <f t="shared" si="0"/>
        <v>VSB 53 </v>
      </c>
      <c r="B26" s="4" t="str">
        <f t="shared" si="1"/>
        <v>II</v>
      </c>
      <c r="C26" s="37">
        <f t="shared" si="2"/>
        <v>55741.105000000003</v>
      </c>
      <c r="D26" s="17" t="str">
        <f t="shared" si="3"/>
        <v>vis</v>
      </c>
      <c r="E26" s="45">
        <f>VLOOKUP(C26,Active!C$21:E$973,3,FALSE)</f>
        <v>9625.3836472270777</v>
      </c>
      <c r="F26" s="4" t="s">
        <v>63</v>
      </c>
      <c r="G26" s="17" t="str">
        <f t="shared" si="4"/>
        <v>55741.105</v>
      </c>
      <c r="H26" s="37">
        <f t="shared" si="5"/>
        <v>-9.5</v>
      </c>
      <c r="I26" s="46" t="s">
        <v>127</v>
      </c>
      <c r="J26" s="47" t="s">
        <v>128</v>
      </c>
      <c r="K26" s="46">
        <v>-9.5</v>
      </c>
      <c r="L26" s="46" t="s">
        <v>129</v>
      </c>
      <c r="M26" s="47" t="s">
        <v>117</v>
      </c>
      <c r="N26" s="47" t="s">
        <v>130</v>
      </c>
      <c r="O26" s="48" t="s">
        <v>131</v>
      </c>
      <c r="P26" s="49" t="s">
        <v>132</v>
      </c>
    </row>
    <row r="27" spans="1:16" ht="12.75" customHeight="1" thickBot="1" x14ac:dyDescent="0.25">
      <c r="A27" s="37" t="str">
        <f t="shared" si="0"/>
        <v>VSB 53 </v>
      </c>
      <c r="B27" s="4" t="str">
        <f t="shared" si="1"/>
        <v>I</v>
      </c>
      <c r="C27" s="37">
        <f t="shared" si="2"/>
        <v>55754.0694</v>
      </c>
      <c r="D27" s="17" t="str">
        <f t="shared" si="3"/>
        <v>vis</v>
      </c>
      <c r="E27" s="45">
        <f>VLOOKUP(C27,Active!C$21:E$973,3,FALSE)</f>
        <v>9634.8868831681957</v>
      </c>
      <c r="F27" s="4" t="s">
        <v>63</v>
      </c>
      <c r="G27" s="17" t="str">
        <f t="shared" si="4"/>
        <v>55754.0694</v>
      </c>
      <c r="H27" s="37">
        <f t="shared" si="5"/>
        <v>0</v>
      </c>
      <c r="I27" s="46" t="s">
        <v>133</v>
      </c>
      <c r="J27" s="47" t="s">
        <v>134</v>
      </c>
      <c r="K27" s="46">
        <v>0</v>
      </c>
      <c r="L27" s="46" t="s">
        <v>135</v>
      </c>
      <c r="M27" s="47" t="s">
        <v>117</v>
      </c>
      <c r="N27" s="47" t="s">
        <v>136</v>
      </c>
      <c r="O27" s="48" t="s">
        <v>131</v>
      </c>
      <c r="P27" s="49" t="s">
        <v>132</v>
      </c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</sheetData>
  <phoneticPr fontId="8" type="noConversion"/>
  <hyperlinks>
    <hyperlink ref="A3" r:id="rId1" xr:uid="{00000000-0004-0000-0100-000000000000}"/>
    <hyperlink ref="P12" r:id="rId2" display="http://www.konkoly.hu/cgi-bin/IBVS?1306" xr:uid="{00000000-0004-0000-0100-000001000000}"/>
    <hyperlink ref="P14" r:id="rId3" display="http://www.konkoly.hu/cgi-bin/IBVS?3629" xr:uid="{00000000-0004-0000-0100-000002000000}"/>
    <hyperlink ref="P15" r:id="rId4" display="http://www.konkoly.hu/cgi-bin/IBVS?3629" xr:uid="{00000000-0004-0000-0100-000003000000}"/>
    <hyperlink ref="P16" r:id="rId5" display="http://www.konkoly.hu/cgi-bin/IBVS?3629" xr:uid="{00000000-0004-0000-0100-000004000000}"/>
    <hyperlink ref="P23" r:id="rId6" display="http://vsolj.cetus-net.org/no45.pdf" xr:uid="{00000000-0004-0000-0100-000005000000}"/>
    <hyperlink ref="P24" r:id="rId7" display="http://var.astro.cz/oejv/issues/oejv0137.pdf" xr:uid="{00000000-0004-0000-0100-000006000000}"/>
    <hyperlink ref="P25" r:id="rId8" display="http://var.astro.cz/oejv/issues/oejv0137.pdf" xr:uid="{00000000-0004-0000-0100-000007000000}"/>
    <hyperlink ref="P20" r:id="rId9" display="http://var.astro.cz/oejv/issues/oejv0137.pdf" xr:uid="{00000000-0004-0000-0100-000008000000}"/>
    <hyperlink ref="P26" r:id="rId10" display="http://vsolj.cetus-net.org/vsoljno53.pdf" xr:uid="{00000000-0004-0000-0100-000009000000}"/>
    <hyperlink ref="P27" r:id="rId11" display="http://vsolj.cetus-net.org/vsoljno53.pdf" xr:uid="{00000000-0004-0000-0100-00000A000000}"/>
    <hyperlink ref="P21" r:id="rId12" display="http://var.astro.cz/oejv/issues/oejv0172.pdf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2023-08-19T06:05:46Z</dcterms:modified>
</cp:coreProperties>
</file>