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FBB9D02-C03E-4645-85DC-6B771CC4C407}" xr6:coauthVersionLast="47" xr6:coauthVersionMax="47" xr10:uidLastSave="{00000000-0000-0000-0000-000000000000}"/>
  <bookViews>
    <workbookView xWindow="14490" yWindow="150" windowWidth="13995" windowHeight="145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4" i="1" l="1"/>
  <c r="F44" i="1"/>
  <c r="G44" i="1" s="1"/>
  <c r="K44" i="1" s="1"/>
  <c r="Q44" i="1"/>
  <c r="K43" i="1"/>
  <c r="G39" i="1"/>
  <c r="G40" i="1"/>
  <c r="G41" i="1"/>
  <c r="G42" i="1"/>
  <c r="G43" i="1"/>
  <c r="E42" i="1"/>
  <c r="F42" i="1" s="1"/>
  <c r="U42" i="1" s="1"/>
  <c r="Q42" i="1"/>
  <c r="E43" i="1"/>
  <c r="F43" i="1" s="1"/>
  <c r="Q43" i="1"/>
  <c r="E39" i="1"/>
  <c r="F39" i="1"/>
  <c r="U39" i="1"/>
  <c r="Q39" i="1"/>
  <c r="Q40" i="1"/>
  <c r="Q41" i="1"/>
  <c r="Q38" i="1"/>
  <c r="D9" i="1"/>
  <c r="C9" i="1"/>
  <c r="C7" i="1"/>
  <c r="E23" i="1"/>
  <c r="F23" i="1"/>
  <c r="C8" i="1"/>
  <c r="E25" i="1"/>
  <c r="F25" i="1"/>
  <c r="E26" i="1"/>
  <c r="F26" i="1"/>
  <c r="E27" i="1"/>
  <c r="F27" i="1"/>
  <c r="G27" i="1"/>
  <c r="K27" i="1"/>
  <c r="E29" i="1"/>
  <c r="F29" i="1"/>
  <c r="G29" i="1"/>
  <c r="J29" i="1"/>
  <c r="E33" i="1"/>
  <c r="F33" i="1"/>
  <c r="E34" i="1"/>
  <c r="F34" i="1"/>
  <c r="E35" i="1"/>
  <c r="F35" i="1"/>
  <c r="G35" i="1"/>
  <c r="K35" i="1"/>
  <c r="E37" i="1"/>
  <c r="F37" i="1"/>
  <c r="G37" i="1"/>
  <c r="K37" i="1"/>
  <c r="E24" i="1"/>
  <c r="F24" i="1"/>
  <c r="Q37" i="1"/>
  <c r="Q36" i="1"/>
  <c r="Q35" i="1"/>
  <c r="Q33" i="1"/>
  <c r="Q34" i="1"/>
  <c r="Q21" i="1"/>
  <c r="Q30" i="1"/>
  <c r="Q31" i="1"/>
  <c r="Q32" i="1"/>
  <c r="G11" i="2"/>
  <c r="C11" i="2"/>
  <c r="E11" i="2"/>
  <c r="G12" i="2"/>
  <c r="C12" i="2"/>
  <c r="E12" i="2"/>
  <c r="G15" i="2"/>
  <c r="C15" i="2"/>
  <c r="E15" i="2"/>
  <c r="G16" i="2"/>
  <c r="C16" i="2"/>
  <c r="E16" i="2"/>
  <c r="G17" i="2"/>
  <c r="C17" i="2"/>
  <c r="E17" i="2"/>
  <c r="G18" i="2"/>
  <c r="C18" i="2"/>
  <c r="E18" i="2"/>
  <c r="G13" i="2"/>
  <c r="C13" i="2"/>
  <c r="E13" i="2"/>
  <c r="G19" i="2"/>
  <c r="C19" i="2"/>
  <c r="G20" i="2"/>
  <c r="C20" i="2"/>
  <c r="G21" i="2"/>
  <c r="C21" i="2"/>
  <c r="G14" i="2"/>
  <c r="C14" i="2"/>
  <c r="H21" i="2"/>
  <c r="D21" i="2"/>
  <c r="B21" i="2"/>
  <c r="A21" i="2"/>
  <c r="H20" i="2"/>
  <c r="D20" i="2"/>
  <c r="B20" i="2"/>
  <c r="A20" i="2"/>
  <c r="H19" i="2"/>
  <c r="D19" i="2"/>
  <c r="B19" i="2"/>
  <c r="A19" i="2"/>
  <c r="H13" i="2"/>
  <c r="D13" i="2"/>
  <c r="B13" i="2"/>
  <c r="A13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2" i="2"/>
  <c r="D12" i="2"/>
  <c r="B12" i="2"/>
  <c r="A12" i="2"/>
  <c r="H11" i="2"/>
  <c r="D11" i="2"/>
  <c r="B11" i="2"/>
  <c r="A11" i="2"/>
  <c r="H14" i="2"/>
  <c r="D14" i="2"/>
  <c r="B14" i="2"/>
  <c r="A14" i="2"/>
  <c r="F16" i="1"/>
  <c r="Q29" i="1"/>
  <c r="Q25" i="1"/>
  <c r="Q26" i="1"/>
  <c r="Q27" i="1"/>
  <c r="Q28" i="1"/>
  <c r="Q23" i="1"/>
  <c r="Q24" i="1"/>
  <c r="Q22" i="1"/>
  <c r="C17" i="1"/>
  <c r="E20" i="2"/>
  <c r="E19" i="2"/>
  <c r="U24" i="1"/>
  <c r="E21" i="1"/>
  <c r="F21" i="1"/>
  <c r="G33" i="1"/>
  <c r="K33" i="1"/>
  <c r="E31" i="1"/>
  <c r="F31" i="1"/>
  <c r="G31" i="1"/>
  <c r="K31" i="1"/>
  <c r="G25" i="1"/>
  <c r="K25" i="1"/>
  <c r="E22" i="1"/>
  <c r="F22" i="1"/>
  <c r="G22" i="1"/>
  <c r="K22" i="1"/>
  <c r="E41" i="1"/>
  <c r="F41" i="1"/>
  <c r="U41" i="1"/>
  <c r="E36" i="1"/>
  <c r="F36" i="1"/>
  <c r="G36" i="1"/>
  <c r="K36" i="1"/>
  <c r="G30" i="1"/>
  <c r="K30" i="1"/>
  <c r="E28" i="1"/>
  <c r="F28" i="1"/>
  <c r="G28" i="1"/>
  <c r="K28" i="1"/>
  <c r="E38" i="1"/>
  <c r="F38" i="1"/>
  <c r="G38" i="1"/>
  <c r="K38" i="1"/>
  <c r="G32" i="1"/>
  <c r="K32" i="1"/>
  <c r="E30" i="1"/>
  <c r="F30" i="1"/>
  <c r="G23" i="1"/>
  <c r="K23" i="1"/>
  <c r="E40" i="1"/>
  <c r="F40" i="1"/>
  <c r="U40" i="1"/>
  <c r="G34" i="1"/>
  <c r="K34" i="1"/>
  <c r="E32" i="1"/>
  <c r="F32" i="1"/>
  <c r="G26" i="1"/>
  <c r="K26" i="1"/>
  <c r="E21" i="2"/>
  <c r="U21" i="1"/>
  <c r="E14" i="2"/>
  <c r="C11" i="1"/>
  <c r="C12" i="1"/>
  <c r="O44" i="1" l="1"/>
  <c r="O42" i="1"/>
  <c r="O43" i="1"/>
  <c r="O39" i="1"/>
  <c r="O21" i="1"/>
  <c r="O36" i="1"/>
  <c r="O35" i="1"/>
  <c r="C15" i="1"/>
  <c r="O23" i="1"/>
  <c r="O25" i="1"/>
  <c r="O37" i="1"/>
  <c r="O30" i="1"/>
  <c r="O31" i="1"/>
  <c r="O27" i="1"/>
  <c r="O22" i="1"/>
  <c r="O24" i="1"/>
  <c r="O34" i="1"/>
  <c r="O32" i="1"/>
  <c r="O28" i="1"/>
  <c r="O40" i="1"/>
  <c r="O41" i="1"/>
  <c r="O38" i="1"/>
  <c r="O29" i="1"/>
  <c r="O33" i="1"/>
  <c r="O26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<sst xmlns="http://schemas.openxmlformats.org/spreadsheetml/2006/main" count="191" uniqueCount="119">
  <si>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</si>
  <si>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</si>
  <si>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</si>
  <si>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</si>
  <si>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</si>
  <si>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</si>
  <si>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</si>
  <si>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</si>
  <si>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</si>
  <si>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</si>
  <si>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</si>
  <si>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</si>
  <si>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</si>
  <si>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</si>
  <si>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</si>
  <si>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</si>
  <si>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</si>
  <si>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</si>
  <si>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</si>
  <si>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</si>
  <si>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</si>
  <si>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</si>
  <si>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</si>
  <si>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</si>
  <si>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</si>
  <si>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</si>
  <si>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</si>
  <si>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</si>
  <si>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</si>
  <si>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</si>
  <si>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</si>
  <si>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</si>
  <si>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</si>
  <si>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</si>
  <si>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</si>
  <si>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V1426 Aql / GSC 0471-2131               </t>
  </si>
  <si>
    <t>EA</t>
  </si>
  <si>
    <t>IBVS 5809</t>
  </si>
  <si>
    <t>OEJV0094</t>
  </si>
  <si>
    <t>IBVS 6070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</si>
  <si>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</si>
  <si>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</si>
  <si>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</si>
  <si>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</si>
  <si>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</si>
  <si>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</si>
  <si>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</si>
  <si>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</si>
  <si>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</si>
  <si>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</si>
  <si>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</si>
  <si>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</si>
  <si>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</si>
  <si>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2449926.427 </t>
  </si>
  <si>
    <t> 27.07.1995 22:14 </t>
  </si>
  <si>
    <t> 0.077 </t>
  </si>
  <si>
    <t>E </t>
  </si>
  <si>
    <t>?</t>
  </si>
  <si>
    <t> G.Roizman et al. </t>
  </si>
  <si>
    <t>IBVS 4267 </t>
  </si>
  <si>
    <t>2452709.1130 </t>
  </si>
  <si>
    <t> 10.03.2003 14:42 </t>
  </si>
  <si>
    <t> -0.0086 </t>
  </si>
  <si>
    <t>C </t>
  </si>
  <si>
    <t> P.Sobotka (ESA INTEGRAL) </t>
  </si>
  <si>
    <t>IBVS 5809 </t>
  </si>
  <si>
    <t>2453083.420 </t>
  </si>
  <si>
    <t> 18.03.2004 22:04 </t>
  </si>
  <si>
    <t> 0.011 </t>
  </si>
  <si>
    <t>2454697.4741 </t>
  </si>
  <si>
    <t> 18.08.2008 23:22 </t>
  </si>
  <si>
    <t> -0.0131 </t>
  </si>
  <si>
    <t> P.Marek </t>
  </si>
  <si>
    <t>OEJV 0094 </t>
  </si>
  <si>
    <t>2454697.4798 </t>
  </si>
  <si>
    <t> 18.08.2008 23:30 </t>
  </si>
  <si>
    <t> -0.0074 </t>
  </si>
  <si>
    <t>2454697.4808 </t>
  </si>
  <si>
    <t> 18.08.2008 23:32 </t>
  </si>
  <si>
    <t> -0.0064 </t>
  </si>
  <si>
    <t>R</t>
  </si>
  <si>
    <t>2454697.4826 </t>
  </si>
  <si>
    <t> 18.08.2008 23:34 </t>
  </si>
  <si>
    <t> -0.0046 </t>
  </si>
  <si>
    <t>B</t>
  </si>
  <si>
    <t>2455790.3766 </t>
  </si>
  <si>
    <t> 16.08.2011 21:02 </t>
  </si>
  <si>
    <t> -0.0066 </t>
  </si>
  <si>
    <t>o</t>
  </si>
  <si>
    <t> J.Schirmer </t>
  </si>
  <si>
    <t>BAVM 231 </t>
  </si>
  <si>
    <t>2456159.3769 </t>
  </si>
  <si>
    <t> 19.08.2012 21:02 </t>
  </si>
  <si>
    <t> -0.0056 </t>
  </si>
  <si>
    <t> F.Walter </t>
  </si>
  <si>
    <t>BAVM 228 </t>
  </si>
  <si>
    <t>2456179.3547 </t>
  </si>
  <si>
    <t> 08.09.2012 20:30 </t>
  </si>
  <si>
    <t> -0.0055 </t>
  </si>
  <si>
    <t>2457213.4961 </t>
  </si>
  <si>
    <t> 09.07.2015 23:54 </t>
  </si>
  <si>
    <t> -0.0023 </t>
  </si>
  <si>
    <t> F.Agerer </t>
  </si>
  <si>
    <t>BAVM 241 (=IBVS 6157) </t>
  </si>
  <si>
    <t>s5</t>
  </si>
  <si>
    <t>s6</t>
  </si>
  <si>
    <t>s7</t>
  </si>
  <si>
    <t>IBVS 4267</t>
  </si>
  <si>
    <t>BAD?</t>
  </si>
  <si>
    <t>OEJV 0094</t>
  </si>
  <si>
    <t>IBVS 6157</t>
  </si>
  <si>
    <t>OEJV 0179</t>
  </si>
  <si>
    <t>RHN 2020</t>
  </si>
  <si>
    <t>VSB 069</t>
  </si>
  <si>
    <t>Ic</t>
  </si>
  <si>
    <t>VSB, 91</t>
  </si>
  <si>
    <t>JBAV, 63</t>
  </si>
  <si>
    <t>II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</si>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</sst>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8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/>
    <xf numFmtId="0" fontId="34" fillId="0" borderId="0" xfId="43" applyFont="1"/>
    <xf numFmtId="0" fontId="34" fillId="0" borderId="0" xfId="43" applyFont="1" applyAlignment="1">
      <alignment horizontal="center"/>
    </xf>
    <xf numFmtId="0" fontId="34" fillId="0" borderId="0" xfId="43" applyFont="1" applyAlignment="1">
      <alignment horizontal="left"/>
    </xf>
    <xf numFmtId="0" fontId="34" fillId="0" borderId="0" xfId="43" applyFont="1" applyAlignment="1">
      <alignment horizontal="center" wrapText="1"/>
    </xf>
    <xf numFmtId="0" fontId="34" fillId="0" borderId="0" xfId="43" applyFont="1" applyAlignment="1">
      <alignment horizontal="left" wrapText="1"/>
    </xf>
    <xf numFmtId="0" fontId="35" fillId="0" borderId="0" xfId="0" applyFont="1" applyAlignment="1"/>
    <xf numFmtId="0" fontId="34" fillId="0" borderId="0" xfId="0" applyFont="1" applyAlignment="1">
      <alignment horizontal="left" vertic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5" fontId="37" fillId="0" borderId="0" xfId="0" applyNumberFormat="1" applyFont="1" applyAlignment="1" applyProtection="1">
      <alignment vertical="center" wrapText="1"/>
      <protection locked="0"/>
    </xf>
    <xf numFmtId="0" fontId="37" fillId="0" borderId="0" xfId="0" applyFont="1" applyAlignment="1" applyProtection="1"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V1426 Aql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D-497A-8BE1-9086D20E93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D-497A-8BE1-9086D20E93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-4.6419999998761341E-3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FD-497A-8BE1-9086D20E93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0</c:v>
                </c:pt>
                <c:pt idx="2">
                  <c:v>-3.9660000038566068E-3</c:v>
                </c:pt>
                <c:pt idx="4">
                  <c:v>-1.01420000064536E-2</c:v>
                </c:pt>
                <c:pt idx="5">
                  <c:v>-4.4420000049285591E-3</c:v>
                </c:pt>
                <c:pt idx="6">
                  <c:v>-3.4420000010868534E-3</c:v>
                </c:pt>
                <c:pt idx="7">
                  <c:v>-1.6420000029029325E-3</c:v>
                </c:pt>
                <c:pt idx="9">
                  <c:v>-3.9539999997941777E-3</c:v>
                </c:pt>
                <c:pt idx="10">
                  <c:v>-3.8399999975808896E-3</c:v>
                </c:pt>
                <c:pt idx="11">
                  <c:v>-1.4800000062678009E-3</c:v>
                </c:pt>
                <c:pt idx="12">
                  <c:v>-1.5060000005178154E-3</c:v>
                </c:pt>
                <c:pt idx="13">
                  <c:v>7.1999999636318535E-4</c:v>
                </c:pt>
                <c:pt idx="14">
                  <c:v>-5.4190000009839423E-3</c:v>
                </c:pt>
                <c:pt idx="15">
                  <c:v>5.5900000006658956E-4</c:v>
                </c:pt>
                <c:pt idx="16">
                  <c:v>-6.8399999872781336E-4</c:v>
                </c:pt>
                <c:pt idx="17">
                  <c:v>-1.3739999994868413E-3</c:v>
                </c:pt>
                <c:pt idx="22">
                  <c:v>1.1669999948935583E-3</c:v>
                </c:pt>
                <c:pt idx="23">
                  <c:v>-2.0646999953896739E-2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FD-497A-8BE1-9086D20E93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FD-497A-8BE1-9086D20E93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FD-497A-8BE1-9086D20E93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FD-497A-8BE1-9086D20E93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3.9063261527774243E-3</c:v>
                </c:pt>
                <c:pt idx="1">
                  <c:v>5.0145484655667732E-5</c:v>
                </c:pt>
                <c:pt idx="2">
                  <c:v>-2.6137618501916157E-4</c:v>
                </c:pt>
                <c:pt idx="3">
                  <c:v>-8.2193918949053518E-4</c:v>
                </c:pt>
                <c:pt idx="4">
                  <c:v>-3.2393121459785464E-3</c:v>
                </c:pt>
                <c:pt idx="5">
                  <c:v>-3.2393121459785464E-3</c:v>
                </c:pt>
                <c:pt idx="6">
                  <c:v>-3.2393121459785464E-3</c:v>
                </c:pt>
                <c:pt idx="7">
                  <c:v>-3.2393121459785464E-3</c:v>
                </c:pt>
                <c:pt idx="8">
                  <c:v>-4.8761209188462936E-3</c:v>
                </c:pt>
                <c:pt idx="9">
                  <c:v>-5.4287638808683068E-3</c:v>
                </c:pt>
                <c:pt idx="10">
                  <c:v>-5.4586840412325565E-3</c:v>
                </c:pt>
                <c:pt idx="11">
                  <c:v>-7.0074923424407473E-3</c:v>
                </c:pt>
                <c:pt idx="12">
                  <c:v>-7.0374125028049963E-3</c:v>
                </c:pt>
                <c:pt idx="13">
                  <c:v>-7.086692766934348E-3</c:v>
                </c:pt>
                <c:pt idx="14">
                  <c:v>-8.1875786673953968E-3</c:v>
                </c:pt>
                <c:pt idx="15">
                  <c:v>-9.699426770506574E-3</c:v>
                </c:pt>
                <c:pt idx="16">
                  <c:v>-9.7143868506886985E-3</c:v>
                </c:pt>
                <c:pt idx="17">
                  <c:v>-9.7231868978546552E-3</c:v>
                </c:pt>
                <c:pt idx="18">
                  <c:v>-9.8059073412146373E-3</c:v>
                </c:pt>
                <c:pt idx="19">
                  <c:v>-9.8059073412146373E-3</c:v>
                </c:pt>
                <c:pt idx="20">
                  <c:v>-9.8059073412146373E-3</c:v>
                </c:pt>
                <c:pt idx="21">
                  <c:v>-1.0328630142872402E-2</c:v>
                </c:pt>
                <c:pt idx="22">
                  <c:v>-1.0357670298520055E-2</c:v>
                </c:pt>
                <c:pt idx="23">
                  <c:v>-1.0767752496453587E-2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FD-497A-8BE1-9086D20E935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0">
                  <c:v>8.4178000004612841E-2</c:v>
                </c:pt>
                <c:pt idx="3">
                  <c:v>1.5210999998089392E-2</c:v>
                </c:pt>
                <c:pt idx="18">
                  <c:v>-2.2799999998824205E-2</c:v>
                </c:pt>
                <c:pt idx="19">
                  <c:v>-2.2799999998824205E-2</c:v>
                </c:pt>
                <c:pt idx="20">
                  <c:v>-2.1800000002258457E-2</c:v>
                </c:pt>
                <c:pt idx="21">
                  <c:v>-1.6125999900395982E-2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FD-497A-8BE1-9086D20E9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17080"/>
        <c:axId val="1"/>
      </c:scatterChart>
      <c:valAx>
        <c:axId val="246517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17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052631578947368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V1426 Aql - O-C Diagr.</a:t>
            </a:r>
          </a:p>
        </c:rich>
      </c:tx>
      <c:layout>
        <c:manualLayout>
          <c:xMode val="edge"/>
          <c:yMode val="edge"/>
          <c:x val="0.3708713437847295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D-4C52-B3A1-82BA119DEF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FD-4C52-B3A1-82BA119DEF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">
                  <c:v>-4.6419999998761341E-3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FD-4C52-B3A1-82BA119DEF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">
                  <c:v>0</c:v>
                </c:pt>
                <c:pt idx="2">
                  <c:v>-3.9660000038566068E-3</c:v>
                </c:pt>
                <c:pt idx="4">
                  <c:v>-1.01420000064536E-2</c:v>
                </c:pt>
                <c:pt idx="5">
                  <c:v>-4.4420000049285591E-3</c:v>
                </c:pt>
                <c:pt idx="6">
                  <c:v>-3.4420000010868534E-3</c:v>
                </c:pt>
                <c:pt idx="7">
                  <c:v>-1.6420000029029325E-3</c:v>
                </c:pt>
                <c:pt idx="9">
                  <c:v>-3.9539999997941777E-3</c:v>
                </c:pt>
                <c:pt idx="10">
                  <c:v>-3.8399999975808896E-3</c:v>
                </c:pt>
                <c:pt idx="11">
                  <c:v>-1.4800000062678009E-3</c:v>
                </c:pt>
                <c:pt idx="12">
                  <c:v>-1.5060000005178154E-3</c:v>
                </c:pt>
                <c:pt idx="13">
                  <c:v>7.1999999636318535E-4</c:v>
                </c:pt>
                <c:pt idx="14">
                  <c:v>-5.4190000009839423E-3</c:v>
                </c:pt>
                <c:pt idx="15">
                  <c:v>5.5900000006658956E-4</c:v>
                </c:pt>
                <c:pt idx="16">
                  <c:v>-6.8399999872781336E-4</c:v>
                </c:pt>
                <c:pt idx="17">
                  <c:v>-1.3739999994868413E-3</c:v>
                </c:pt>
                <c:pt idx="22">
                  <c:v>1.1669999948935583E-3</c:v>
                </c:pt>
                <c:pt idx="23">
                  <c:v>-2.0646999953896739E-2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FD-4C52-B3A1-82BA119DEF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FD-4C52-B3A1-82BA119DEF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FD-4C52-B3A1-82BA119DEF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0</c:v>
                  </c:pt>
                  <c:pt idx="2">
                    <c:v>4.0000000000000002E-4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5.9999999999999995E-4</c:v>
                  </c:pt>
                  <c:pt idx="6">
                    <c:v>6.9999999999999999E-4</c:v>
                  </c:pt>
                  <c:pt idx="7">
                    <c:v>8.0000000000000004E-4</c:v>
                  </c:pt>
                  <c:pt idx="8">
                    <c:v>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3.5000000000000001E-3</c:v>
                  </c:pt>
                  <c:pt idx="12">
                    <c:v>2.0000000000000001E-4</c:v>
                  </c:pt>
                  <c:pt idx="13">
                    <c:v>5.9999999999999995E-4</c:v>
                  </c:pt>
                  <c:pt idx="14">
                    <c:v>4.1999999999999997E-3</c:v>
                  </c:pt>
                  <c:pt idx="15">
                    <c:v>5.0000000000000001E-4</c:v>
                  </c:pt>
                  <c:pt idx="16">
                    <c:v>5.9999999999999995E-4</c:v>
                  </c:pt>
                  <c:pt idx="17">
                    <c:v>1.5E-3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FD-4C52-B3A1-82BA119DEF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3.9063261527774243E-3</c:v>
                </c:pt>
                <c:pt idx="1">
                  <c:v>5.0145484655667732E-5</c:v>
                </c:pt>
                <c:pt idx="2">
                  <c:v>-2.6137618501916157E-4</c:v>
                </c:pt>
                <c:pt idx="3">
                  <c:v>-8.2193918949053518E-4</c:v>
                </c:pt>
                <c:pt idx="4">
                  <c:v>-3.2393121459785464E-3</c:v>
                </c:pt>
                <c:pt idx="5">
                  <c:v>-3.2393121459785464E-3</c:v>
                </c:pt>
                <c:pt idx="6">
                  <c:v>-3.2393121459785464E-3</c:v>
                </c:pt>
                <c:pt idx="7">
                  <c:v>-3.2393121459785464E-3</c:v>
                </c:pt>
                <c:pt idx="8">
                  <c:v>-4.8761209188462936E-3</c:v>
                </c:pt>
                <c:pt idx="9">
                  <c:v>-5.4287638808683068E-3</c:v>
                </c:pt>
                <c:pt idx="10">
                  <c:v>-5.4586840412325565E-3</c:v>
                </c:pt>
                <c:pt idx="11">
                  <c:v>-7.0074923424407473E-3</c:v>
                </c:pt>
                <c:pt idx="12">
                  <c:v>-7.0374125028049963E-3</c:v>
                </c:pt>
                <c:pt idx="13">
                  <c:v>-7.086692766934348E-3</c:v>
                </c:pt>
                <c:pt idx="14">
                  <c:v>-8.1875786673953968E-3</c:v>
                </c:pt>
                <c:pt idx="15">
                  <c:v>-9.699426770506574E-3</c:v>
                </c:pt>
                <c:pt idx="16">
                  <c:v>-9.7143868506886985E-3</c:v>
                </c:pt>
                <c:pt idx="17">
                  <c:v>-9.7231868978546552E-3</c:v>
                </c:pt>
                <c:pt idx="18">
                  <c:v>-9.8059073412146373E-3</c:v>
                </c:pt>
                <c:pt idx="19">
                  <c:v>-9.8059073412146373E-3</c:v>
                </c:pt>
                <c:pt idx="20">
                  <c:v>-9.8059073412146373E-3</c:v>
                </c:pt>
                <c:pt idx="21">
                  <c:v>-1.0328630142872402E-2</c:v>
                </c:pt>
                <c:pt idx="22">
                  <c:v>-1.0357670298520055E-2</c:v>
                </c:pt>
                <c:pt idx="23">
                  <c:v>-1.0767752496453587E-2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FD-4C52-B3A1-82BA119DEF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-2191</c:v>
                </c:pt>
                <c:pt idx="1">
                  <c:v>0</c:v>
                </c:pt>
                <c:pt idx="2">
                  <c:v>177</c:v>
                </c:pt>
                <c:pt idx="3">
                  <c:v>495.5</c:v>
                </c:pt>
                <c:pt idx="4">
                  <c:v>1869</c:v>
                </c:pt>
                <c:pt idx="5">
                  <c:v>1869</c:v>
                </c:pt>
                <c:pt idx="6">
                  <c:v>1869</c:v>
                </c:pt>
                <c:pt idx="7">
                  <c:v>1869</c:v>
                </c:pt>
                <c:pt idx="8">
                  <c:v>2799</c:v>
                </c:pt>
                <c:pt idx="9">
                  <c:v>3113</c:v>
                </c:pt>
                <c:pt idx="10">
                  <c:v>3130</c:v>
                </c:pt>
                <c:pt idx="11">
                  <c:v>4010</c:v>
                </c:pt>
                <c:pt idx="12">
                  <c:v>4027</c:v>
                </c:pt>
                <c:pt idx="13">
                  <c:v>4055</c:v>
                </c:pt>
                <c:pt idx="14">
                  <c:v>4680.5</c:v>
                </c:pt>
                <c:pt idx="15">
                  <c:v>5539.5</c:v>
                </c:pt>
                <c:pt idx="16">
                  <c:v>5548</c:v>
                </c:pt>
                <c:pt idx="17">
                  <c:v>5553</c:v>
                </c:pt>
                <c:pt idx="18">
                  <c:v>5600</c:v>
                </c:pt>
                <c:pt idx="19">
                  <c:v>5600</c:v>
                </c:pt>
                <c:pt idx="20">
                  <c:v>5600</c:v>
                </c:pt>
                <c:pt idx="21">
                  <c:v>5897</c:v>
                </c:pt>
                <c:pt idx="22">
                  <c:v>5913.5</c:v>
                </c:pt>
                <c:pt idx="23">
                  <c:v>6146.5</c:v>
                </c:pt>
              </c:numCache>
            </c:numRef>
          </c:xVal>
          <c:yVal>
            <c:numRef>
              <c:f>Active!$U$21:$U$982</c:f>
              <c:numCache>
                <c:formatCode>General</c:formatCode>
                <c:ptCount val="962"/>
                <c:pt idx="0">
                  <c:v>8.4178000004612841E-2</c:v>
                </c:pt>
                <c:pt idx="3">
                  <c:v>1.5210999998089392E-2</c:v>
                </c:pt>
                <c:pt idx="18">
                  <c:v>-2.2799999998824205E-2</c:v>
                </c:pt>
                <c:pt idx="19">
                  <c:v>-2.2799999998824205E-2</c:v>
                </c:pt>
                <c:pt idx="20">
                  <c:v>-2.1800000002258457E-2</c:v>
                </c:pt>
                <c:pt idx="21">
                  <c:v>-1.6125999900395982E-2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FD-4C52-B3A1-82BA119DE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520688"/>
        <c:axId val="1"/>
      </c:scatterChart>
      <c:valAx>
        <c:axId val="246520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20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71502999062053"/>
          <c:y val="0.92419947506561673"/>
          <c:w val="0.7042053076698746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86C3189-95AE-2E32-C3CB-80E4EF073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E2A55EF-6D40-F587-C1EC-65FE9A2C2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94.pdf" TargetMode="External"/><Relationship Id="rId3" Type="http://schemas.openxmlformats.org/officeDocument/2006/relationships/hyperlink" Target="http://www.konkoly.hu/cgi-bin/IBVS?5809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426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bav-astro.de/sfs/BAVM_link.php?BAVMnr=228" TargetMode="External"/><Relationship Id="rId4" Type="http://schemas.openxmlformats.org/officeDocument/2006/relationships/hyperlink" Target="http://www.konkoly.hu/cgi-bin/IBVS?5809" TargetMode="External"/><Relationship Id="rId9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3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36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52501.114000000001</v>
      </c>
      <c r="D4" s="9">
        <v>1.1751579999999999</v>
      </c>
      <c r="E4" s="30" t="s">
        <v>33</v>
      </c>
    </row>
    <row r="5" spans="1:6" ht="13.5" thickTop="1" x14ac:dyDescent="0.2">
      <c r="A5" s="11" t="s">
        <v>26</v>
      </c>
      <c r="B5" s="12"/>
      <c r="C5" s="13">
        <v>-9.5</v>
      </c>
      <c r="D5" s="12" t="s">
        <v>27</v>
      </c>
    </row>
    <row r="6" spans="1:6" x14ac:dyDescent="0.2">
      <c r="A6" s="5" t="s">
        <v>2</v>
      </c>
    </row>
    <row r="7" spans="1:6" x14ac:dyDescent="0.2">
      <c r="A7" t="s">
        <v>3</v>
      </c>
      <c r="C7">
        <f>C4</f>
        <v>52501.114000000001</v>
      </c>
    </row>
    <row r="8" spans="1:6" x14ac:dyDescent="0.2">
      <c r="A8" t="s">
        <v>4</v>
      </c>
      <c r="C8">
        <f>D4</f>
        <v>1.1751579999999999</v>
      </c>
      <c r="D8" s="29"/>
    </row>
    <row r="9" spans="1:6" x14ac:dyDescent="0.2">
      <c r="A9" s="26" t="s">
        <v>31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INTERCEPT(INDIRECT($D$9):G975,INDIRECT($C$9):F975)</f>
        <v>5.0145484655667732E-5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SLOPE(INDIRECT($D$9):G975,INDIRECT($C$9):F975)</f>
        <v>-1.7600094331911259E-6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(C7+C11)+(C8+C12)*INT(MAX(F21:F3516))</f>
        <v>59723.624301127507</v>
      </c>
      <c r="E15" s="16" t="s">
        <v>40</v>
      </c>
      <c r="F15" s="49">
        <v>1</v>
      </c>
    </row>
    <row r="16" spans="1:6" x14ac:dyDescent="0.2">
      <c r="A16" s="18" t="s">
        <v>5</v>
      </c>
      <c r="B16" s="12"/>
      <c r="C16" s="19">
        <f ca="1">+C8+C12</f>
        <v>1.1751562399905668</v>
      </c>
      <c r="E16" s="16" t="s">
        <v>28</v>
      </c>
      <c r="F16" s="17">
        <f ca="1">NOW()+15018.5+$C$5/24</f>
        <v>60175.754812152773</v>
      </c>
    </row>
    <row r="17" spans="1:21" ht="13.5" thickBot="1" x14ac:dyDescent="0.25">
      <c r="A17" s="16" t="s">
        <v>25</v>
      </c>
      <c r="B17" s="12"/>
      <c r="C17" s="12">
        <f>COUNT(C21:C2174)</f>
        <v>24</v>
      </c>
      <c r="E17" s="16" t="s">
        <v>41</v>
      </c>
      <c r="F17" s="17">
        <f ca="1">ROUND(2*(F16-$C$7)/$C$8,0)/2+F15</f>
        <v>6531.5</v>
      </c>
    </row>
    <row r="18" spans="1:21" ht="14.25" thickTop="1" thickBot="1" x14ac:dyDescent="0.25">
      <c r="A18" s="18" t="s">
        <v>6</v>
      </c>
      <c r="B18" s="12"/>
      <c r="C18" s="21">
        <f ca="1">+C15</f>
        <v>59723.624301127507</v>
      </c>
      <c r="D18" s="22">
        <f ca="1">+C16</f>
        <v>1.1751562399905668</v>
      </c>
      <c r="E18" s="16" t="s">
        <v>29</v>
      </c>
      <c r="F18" s="25">
        <f ca="1">ROUND(2*(F16-$C$15)/$C$16,0)/2+F15</f>
        <v>385.5</v>
      </c>
    </row>
    <row r="19" spans="1:21" ht="13.5" thickTop="1" x14ac:dyDescent="0.2">
      <c r="E19" s="16" t="s">
        <v>30</v>
      </c>
      <c r="F19" s="20">
        <f ca="1">+$C$15+$C$16*F18-15018.5-$C$5/24</f>
        <v>45158.542864977208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52</v>
      </c>
      <c r="J20" s="7" t="s">
        <v>46</v>
      </c>
      <c r="K20" s="7" t="s">
        <v>44</v>
      </c>
      <c r="L20" s="7" t="s">
        <v>104</v>
      </c>
      <c r="M20" s="7" t="s">
        <v>105</v>
      </c>
      <c r="N20" s="7" t="s">
        <v>106</v>
      </c>
      <c r="O20" s="7" t="s">
        <v>23</v>
      </c>
      <c r="P20" s="6" t="s">
        <v>22</v>
      </c>
      <c r="Q20" s="4" t="s">
        <v>15</v>
      </c>
      <c r="U20" s="48" t="s">
        <v>108</v>
      </c>
    </row>
    <row r="21" spans="1:21" x14ac:dyDescent="0.2">
      <c r="A21" s="25" t="s">
        <v>107</v>
      </c>
      <c r="B21" s="3" t="s">
        <v>32</v>
      </c>
      <c r="C21" s="10">
        <v>49926.427000000003</v>
      </c>
      <c r="D21" s="10" t="s">
        <v>52</v>
      </c>
      <c r="E21">
        <f t="shared" ref="E21:E32" si="0">+(C21-C$7)/C$8</f>
        <v>-2190.9283687810475</v>
      </c>
      <c r="F21">
        <f t="shared" ref="F21:F41" si="1">ROUND(2*E21,0)/2</f>
        <v>-2191</v>
      </c>
      <c r="O21">
        <f t="shared" ref="O21:O32" ca="1" si="2">+C$11+C$12*$F21</f>
        <v>3.9063261527774243E-3</v>
      </c>
      <c r="Q21" s="2">
        <f t="shared" ref="Q21:Q32" si="3">+C21-15018.5</f>
        <v>34907.927000000003</v>
      </c>
      <c r="U21">
        <f>+C21-(C$7+F21*C$8)</f>
        <v>8.4178000004612841E-2</v>
      </c>
    </row>
    <row r="22" spans="1:21" x14ac:dyDescent="0.2">
      <c r="A22" s="32" t="s">
        <v>34</v>
      </c>
      <c r="B22" s="31" t="s">
        <v>32</v>
      </c>
      <c r="C22" s="32">
        <v>52501.114000000001</v>
      </c>
      <c r="D22" s="28"/>
      <c r="E22">
        <f t="shared" si="0"/>
        <v>0</v>
      </c>
      <c r="F22">
        <f t="shared" si="1"/>
        <v>0</v>
      </c>
      <c r="G22">
        <f t="shared" ref="G22:G32" si="4">+C22-(C$7+F22*C$8)</f>
        <v>0</v>
      </c>
      <c r="K22">
        <f t="shared" ref="K22:K28" si="5">+G22</f>
        <v>0</v>
      </c>
      <c r="O22">
        <f t="shared" ca="1" si="2"/>
        <v>5.0145484655667732E-5</v>
      </c>
      <c r="Q22" s="2">
        <f t="shared" si="3"/>
        <v>37482.614000000001</v>
      </c>
    </row>
    <row r="23" spans="1:21" x14ac:dyDescent="0.2">
      <c r="A23" s="32" t="s">
        <v>37</v>
      </c>
      <c r="B23" s="32"/>
      <c r="C23" s="33">
        <v>52709.112999999998</v>
      </c>
      <c r="D23" s="33">
        <v>4.0000000000000002E-4</v>
      </c>
      <c r="E23">
        <f t="shared" si="0"/>
        <v>176.9966251346595</v>
      </c>
      <c r="F23">
        <f t="shared" si="1"/>
        <v>177</v>
      </c>
      <c r="G23">
        <f t="shared" si="4"/>
        <v>-3.9660000038566068E-3</v>
      </c>
      <c r="K23">
        <f t="shared" si="5"/>
        <v>-3.9660000038566068E-3</v>
      </c>
      <c r="O23">
        <f t="shared" ca="1" si="2"/>
        <v>-2.6137618501916157E-4</v>
      </c>
      <c r="Q23" s="2">
        <f t="shared" si="3"/>
        <v>37690.612999999998</v>
      </c>
    </row>
    <row r="24" spans="1:21" x14ac:dyDescent="0.2">
      <c r="A24" s="32" t="s">
        <v>37</v>
      </c>
      <c r="B24" s="32"/>
      <c r="C24" s="33">
        <v>53083.42</v>
      </c>
      <c r="D24" s="33">
        <v>7.0000000000000001E-3</v>
      </c>
      <c r="E24">
        <f t="shared" si="0"/>
        <v>495.5129437913854</v>
      </c>
      <c r="F24">
        <f t="shared" si="1"/>
        <v>495.5</v>
      </c>
      <c r="O24">
        <f t="shared" ca="1" si="2"/>
        <v>-8.2193918949053518E-4</v>
      </c>
      <c r="Q24" s="2">
        <f t="shared" si="3"/>
        <v>38064.92</v>
      </c>
      <c r="U24">
        <f>+C24-(C$7+F24*C$8)</f>
        <v>1.5210999998089392E-2</v>
      </c>
    </row>
    <row r="25" spans="1:21" x14ac:dyDescent="0.2">
      <c r="A25" s="34" t="s">
        <v>109</v>
      </c>
      <c r="B25" s="31" t="s">
        <v>32</v>
      </c>
      <c r="C25" s="32">
        <v>54697.474159999998</v>
      </c>
      <c r="D25" s="32">
        <v>2E-3</v>
      </c>
      <c r="E25">
        <f t="shared" si="0"/>
        <v>1868.9913696711392</v>
      </c>
      <c r="F25">
        <f t="shared" si="1"/>
        <v>1869</v>
      </c>
      <c r="G25">
        <f t="shared" si="4"/>
        <v>-1.01420000064536E-2</v>
      </c>
      <c r="K25">
        <f t="shared" si="5"/>
        <v>-1.01420000064536E-2</v>
      </c>
      <c r="O25">
        <f t="shared" ca="1" si="2"/>
        <v>-3.2393121459785464E-3</v>
      </c>
      <c r="Q25" s="2">
        <f t="shared" si="3"/>
        <v>39678.974159999998</v>
      </c>
    </row>
    <row r="26" spans="1:21" x14ac:dyDescent="0.2">
      <c r="A26" s="34" t="s">
        <v>109</v>
      </c>
      <c r="B26" s="31" t="s">
        <v>32</v>
      </c>
      <c r="C26" s="32">
        <v>54697.479859999999</v>
      </c>
      <c r="D26" s="32">
        <v>5.9999999999999995E-4</v>
      </c>
      <c r="E26">
        <f t="shared" si="0"/>
        <v>1868.9962200827447</v>
      </c>
      <c r="F26">
        <f t="shared" si="1"/>
        <v>1869</v>
      </c>
      <c r="G26">
        <f t="shared" si="4"/>
        <v>-4.4420000049285591E-3</v>
      </c>
      <c r="K26">
        <f t="shared" si="5"/>
        <v>-4.4420000049285591E-3</v>
      </c>
      <c r="O26">
        <f t="shared" ca="1" si="2"/>
        <v>-3.2393121459785464E-3</v>
      </c>
      <c r="Q26" s="2">
        <f t="shared" si="3"/>
        <v>39678.979859999999</v>
      </c>
    </row>
    <row r="27" spans="1:21" x14ac:dyDescent="0.2">
      <c r="A27" s="34" t="s">
        <v>109</v>
      </c>
      <c r="B27" s="31" t="s">
        <v>32</v>
      </c>
      <c r="C27" s="32">
        <v>54697.480860000003</v>
      </c>
      <c r="D27" s="32">
        <v>6.9999999999999999E-4</v>
      </c>
      <c r="E27">
        <f t="shared" si="0"/>
        <v>1868.9970710321522</v>
      </c>
      <c r="F27">
        <f t="shared" si="1"/>
        <v>1869</v>
      </c>
      <c r="G27">
        <f t="shared" si="4"/>
        <v>-3.4420000010868534E-3</v>
      </c>
      <c r="K27">
        <f t="shared" si="5"/>
        <v>-3.4420000010868534E-3</v>
      </c>
      <c r="O27">
        <f t="shared" ca="1" si="2"/>
        <v>-3.2393121459785464E-3</v>
      </c>
      <c r="Q27" s="2">
        <f t="shared" si="3"/>
        <v>39678.980860000003</v>
      </c>
    </row>
    <row r="28" spans="1:21" x14ac:dyDescent="0.2">
      <c r="A28" s="34" t="s">
        <v>38</v>
      </c>
      <c r="B28" s="31" t="s">
        <v>32</v>
      </c>
      <c r="C28" s="32">
        <v>54697.482660000001</v>
      </c>
      <c r="D28" s="32">
        <v>8.0000000000000004E-4</v>
      </c>
      <c r="E28">
        <f t="shared" si="0"/>
        <v>1868.9986027410785</v>
      </c>
      <c r="F28">
        <f t="shared" si="1"/>
        <v>1869</v>
      </c>
      <c r="G28">
        <f t="shared" si="4"/>
        <v>-1.6420000029029325E-3</v>
      </c>
      <c r="K28">
        <f t="shared" si="5"/>
        <v>-1.6420000029029325E-3</v>
      </c>
      <c r="O28">
        <f t="shared" ca="1" si="2"/>
        <v>-3.2393121459785464E-3</v>
      </c>
      <c r="Q28" s="2">
        <f t="shared" si="3"/>
        <v>39678.982660000001</v>
      </c>
    </row>
    <row r="29" spans="1:21" x14ac:dyDescent="0.2">
      <c r="A29" s="50" t="s">
        <v>39</v>
      </c>
      <c r="B29" s="51" t="s">
        <v>32</v>
      </c>
      <c r="C29" s="52">
        <v>55790.376600000003</v>
      </c>
      <c r="D29" s="52">
        <v>1E-3</v>
      </c>
      <c r="E29">
        <f t="shared" si="0"/>
        <v>2798.9960498928672</v>
      </c>
      <c r="F29">
        <f t="shared" si="1"/>
        <v>2799</v>
      </c>
      <c r="G29">
        <f t="shared" si="4"/>
        <v>-4.6419999998761341E-3</v>
      </c>
      <c r="J29">
        <f>+G29</f>
        <v>-4.6419999998761341E-3</v>
      </c>
      <c r="O29">
        <f t="shared" ca="1" si="2"/>
        <v>-4.8761209188462936E-3</v>
      </c>
      <c r="Q29" s="2">
        <f t="shared" si="3"/>
        <v>40771.876600000003</v>
      </c>
    </row>
    <row r="30" spans="1:21" x14ac:dyDescent="0.2">
      <c r="A30" s="53" t="s">
        <v>95</v>
      </c>
      <c r="B30" s="51" t="s">
        <v>32</v>
      </c>
      <c r="C30" s="52">
        <v>56159.376900000003</v>
      </c>
      <c r="D30" s="52" t="s">
        <v>52</v>
      </c>
      <c r="E30">
        <f t="shared" si="0"/>
        <v>3112.9966353460572</v>
      </c>
      <c r="F30">
        <f t="shared" si="1"/>
        <v>3113</v>
      </c>
      <c r="G30">
        <f t="shared" si="4"/>
        <v>-3.9539999997941777E-3</v>
      </c>
      <c r="K30">
        <f t="shared" ref="K30:K35" si="6">+G30</f>
        <v>-3.9539999997941777E-3</v>
      </c>
      <c r="O30">
        <f t="shared" ca="1" si="2"/>
        <v>-5.4287638808683068E-3</v>
      </c>
      <c r="Q30" s="2">
        <f t="shared" si="3"/>
        <v>41140.876900000003</v>
      </c>
    </row>
    <row r="31" spans="1:21" x14ac:dyDescent="0.2">
      <c r="A31" s="53" t="s">
        <v>90</v>
      </c>
      <c r="B31" s="51" t="s">
        <v>32</v>
      </c>
      <c r="C31" s="52">
        <v>56179.354700000004</v>
      </c>
      <c r="D31" s="52" t="s">
        <v>52</v>
      </c>
      <c r="E31">
        <f t="shared" si="0"/>
        <v>3129.9967323542896</v>
      </c>
      <c r="F31">
        <f t="shared" si="1"/>
        <v>3130</v>
      </c>
      <c r="G31">
        <f t="shared" si="4"/>
        <v>-3.8399999975808896E-3</v>
      </c>
      <c r="K31">
        <f t="shared" si="6"/>
        <v>-3.8399999975808896E-3</v>
      </c>
      <c r="O31">
        <f t="shared" ca="1" si="2"/>
        <v>-5.4586840412325565E-3</v>
      </c>
      <c r="Q31" s="2">
        <f t="shared" si="3"/>
        <v>41160.854700000004</v>
      </c>
    </row>
    <row r="32" spans="1:21" x14ac:dyDescent="0.2">
      <c r="A32" s="52" t="s">
        <v>110</v>
      </c>
      <c r="B32" s="51"/>
      <c r="C32" s="52">
        <v>57213.496099999997</v>
      </c>
      <c r="D32" s="52">
        <v>3.5000000000000001E-3</v>
      </c>
      <c r="E32">
        <f t="shared" si="0"/>
        <v>4009.9987405948777</v>
      </c>
      <c r="F32">
        <f t="shared" si="1"/>
        <v>4010</v>
      </c>
      <c r="G32">
        <f t="shared" si="4"/>
        <v>-1.4800000062678009E-3</v>
      </c>
      <c r="K32">
        <f t="shared" si="6"/>
        <v>-1.4800000062678009E-3</v>
      </c>
      <c r="O32">
        <f t="shared" ca="1" si="2"/>
        <v>-7.0074923424407473E-3</v>
      </c>
      <c r="Q32" s="2">
        <f t="shared" si="3"/>
        <v>42194.996099999997</v>
      </c>
    </row>
    <row r="33" spans="1:21" x14ac:dyDescent="0.2">
      <c r="A33" s="54" t="s">
        <v>111</v>
      </c>
      <c r="B33" s="55" t="s">
        <v>32</v>
      </c>
      <c r="C33" s="56">
        <v>57233.473760000001</v>
      </c>
      <c r="D33" s="56">
        <v>2.0000000000000001E-4</v>
      </c>
      <c r="E33">
        <f t="shared" ref="E33:E38" si="7">+(C33-C$7)/C$8</f>
        <v>4026.9987184701968</v>
      </c>
      <c r="F33">
        <f t="shared" si="1"/>
        <v>4027</v>
      </c>
      <c r="G33">
        <f t="shared" ref="G33:G43" si="8">+C33-(C$7+F33*C$8)</f>
        <v>-1.5060000005178154E-3</v>
      </c>
      <c r="K33">
        <f t="shared" si="6"/>
        <v>-1.5060000005178154E-3</v>
      </c>
      <c r="O33">
        <f t="shared" ref="O33:O38" ca="1" si="9">+C$11+C$12*$F33</f>
        <v>-7.0374125028049963E-3</v>
      </c>
      <c r="Q33" s="2">
        <f t="shared" ref="Q33:Q38" si="10">+C33-15018.5</f>
        <v>42214.973760000001</v>
      </c>
    </row>
    <row r="34" spans="1:21" x14ac:dyDescent="0.2">
      <c r="A34" s="54" t="s">
        <v>111</v>
      </c>
      <c r="B34" s="55" t="s">
        <v>32</v>
      </c>
      <c r="C34" s="56">
        <v>57266.380409999998</v>
      </c>
      <c r="D34" s="56">
        <v>5.9999999999999995E-4</v>
      </c>
      <c r="E34">
        <f t="shared" si="7"/>
        <v>4055.0006126835683</v>
      </c>
      <c r="F34">
        <f t="shared" si="1"/>
        <v>4055</v>
      </c>
      <c r="G34">
        <f t="shared" si="8"/>
        <v>7.1999999636318535E-4</v>
      </c>
      <c r="K34">
        <f t="shared" si="6"/>
        <v>7.1999999636318535E-4</v>
      </c>
      <c r="O34">
        <f t="shared" ca="1" si="9"/>
        <v>-7.086692766934348E-3</v>
      </c>
      <c r="Q34" s="2">
        <f t="shared" si="10"/>
        <v>42247.880409999998</v>
      </c>
    </row>
    <row r="35" spans="1:21" x14ac:dyDescent="0.2">
      <c r="A35" s="54" t="s">
        <v>0</v>
      </c>
      <c r="B35" s="57" t="s">
        <v>32</v>
      </c>
      <c r="C35" s="58">
        <v>58001.435599999997</v>
      </c>
      <c r="D35" s="58">
        <v>4.1999999999999997E-3</v>
      </c>
      <c r="E35">
        <f t="shared" si="7"/>
        <v>4680.4953887051752</v>
      </c>
      <c r="F35">
        <f t="shared" si="1"/>
        <v>4680.5</v>
      </c>
      <c r="G35">
        <f t="shared" si="8"/>
        <v>-5.4190000009839423E-3</v>
      </c>
      <c r="K35">
        <f t="shared" si="6"/>
        <v>-5.4190000009839423E-3</v>
      </c>
      <c r="O35">
        <f t="shared" ca="1" si="9"/>
        <v>-8.1875786673953968E-3</v>
      </c>
      <c r="Q35" s="2">
        <f t="shared" si="10"/>
        <v>42982.935599999997</v>
      </c>
    </row>
    <row r="36" spans="1:21" x14ac:dyDescent="0.2">
      <c r="A36" s="59" t="s">
        <v>112</v>
      </c>
      <c r="B36" s="51"/>
      <c r="C36" s="52">
        <v>59010.902300000002</v>
      </c>
      <c r="D36" s="52">
        <v>5.0000000000000001E-4</v>
      </c>
      <c r="E36">
        <f t="shared" si="7"/>
        <v>5539.5004756807175</v>
      </c>
      <c r="F36">
        <f t="shared" si="1"/>
        <v>5539.5</v>
      </c>
      <c r="G36">
        <f t="shared" si="8"/>
        <v>5.5900000006658956E-4</v>
      </c>
      <c r="K36">
        <f>+G36</f>
        <v>5.5900000006658956E-4</v>
      </c>
      <c r="O36">
        <f t="shared" ca="1" si="9"/>
        <v>-9.699426770506574E-3</v>
      </c>
      <c r="Q36" s="2">
        <f t="shared" si="10"/>
        <v>43992.402300000002</v>
      </c>
    </row>
    <row r="37" spans="1:21" x14ac:dyDescent="0.2">
      <c r="A37" s="59" t="s">
        <v>112</v>
      </c>
      <c r="B37" s="51"/>
      <c r="C37" s="52">
        <v>59020.889900000002</v>
      </c>
      <c r="D37" s="52">
        <v>5.9999999999999995E-4</v>
      </c>
      <c r="E37">
        <f t="shared" si="7"/>
        <v>5547.9994179506084</v>
      </c>
      <c r="F37">
        <f t="shared" si="1"/>
        <v>5548</v>
      </c>
      <c r="G37">
        <f t="shared" si="8"/>
        <v>-6.8399999872781336E-4</v>
      </c>
      <c r="K37">
        <f>+G37</f>
        <v>-6.8399999872781336E-4</v>
      </c>
      <c r="O37">
        <f t="shared" ca="1" si="9"/>
        <v>-9.7143868506886985E-3</v>
      </c>
      <c r="Q37" s="2">
        <f t="shared" si="10"/>
        <v>44002.389900000002</v>
      </c>
    </row>
    <row r="38" spans="1:21" x14ac:dyDescent="0.2">
      <c r="A38" s="59" t="s">
        <v>112</v>
      </c>
      <c r="B38" s="53"/>
      <c r="C38" s="60">
        <v>59026.764999999999</v>
      </c>
      <c r="D38" s="60">
        <v>1.5E-3</v>
      </c>
      <c r="E38">
        <f t="shared" si="7"/>
        <v>5552.9988307955173</v>
      </c>
      <c r="F38">
        <f t="shared" si="1"/>
        <v>5553</v>
      </c>
      <c r="G38">
        <f t="shared" si="8"/>
        <v>-1.3739999994868413E-3</v>
      </c>
      <c r="K38">
        <f>+G38</f>
        <v>-1.3739999994868413E-3</v>
      </c>
      <c r="O38">
        <f t="shared" ca="1" si="9"/>
        <v>-9.7231868978546552E-3</v>
      </c>
      <c r="Q38" s="2">
        <f t="shared" si="10"/>
        <v>44008.264999999999</v>
      </c>
    </row>
    <row r="39" spans="1:21" x14ac:dyDescent="0.2">
      <c r="A39" s="61" t="s">
        <v>113</v>
      </c>
      <c r="B39" s="62" t="s">
        <v>32</v>
      </c>
      <c r="C39" s="63">
        <v>59081.976000000002</v>
      </c>
      <c r="D39" s="63" t="s">
        <v>84</v>
      </c>
      <c r="E39">
        <f>+(C39-C$7)/C$8</f>
        <v>5599.9805983535844</v>
      </c>
      <c r="F39">
        <f t="shared" si="1"/>
        <v>5600</v>
      </c>
      <c r="G39">
        <f t="shared" si="8"/>
        <v>-2.2799999998824205E-2</v>
      </c>
      <c r="O39">
        <f ca="1">+C$11+C$12*$F39</f>
        <v>-9.8059073412146373E-3</v>
      </c>
      <c r="Q39" s="2">
        <f>+C39-15018.5</f>
        <v>44063.476000000002</v>
      </c>
      <c r="U39">
        <f>+C39-(C$7+F39*C$8)</f>
        <v>-2.2799999998824205E-2</v>
      </c>
    </row>
    <row r="40" spans="1:21" x14ac:dyDescent="0.2">
      <c r="A40" s="61" t="s">
        <v>113</v>
      </c>
      <c r="B40" s="62" t="s">
        <v>32</v>
      </c>
      <c r="C40" s="63">
        <v>59081.976000000002</v>
      </c>
      <c r="D40" s="63" t="s">
        <v>51</v>
      </c>
      <c r="E40">
        <f>+(C40-C$7)/C$8</f>
        <v>5599.9805983535844</v>
      </c>
      <c r="F40">
        <f t="shared" si="1"/>
        <v>5600</v>
      </c>
      <c r="G40">
        <f t="shared" si="8"/>
        <v>-2.2799999998824205E-2</v>
      </c>
      <c r="O40">
        <f ca="1">+C$11+C$12*$F40</f>
        <v>-9.8059073412146373E-3</v>
      </c>
      <c r="Q40" s="2">
        <f>+C40-15018.5</f>
        <v>44063.476000000002</v>
      </c>
      <c r="U40">
        <f>+C40-(C$7+F40*C$8)</f>
        <v>-2.2799999998824205E-2</v>
      </c>
    </row>
    <row r="41" spans="1:21" x14ac:dyDescent="0.2">
      <c r="A41" s="61" t="s">
        <v>113</v>
      </c>
      <c r="B41" s="62" t="s">
        <v>32</v>
      </c>
      <c r="C41" s="63">
        <v>59081.976999999999</v>
      </c>
      <c r="D41" s="63" t="s">
        <v>114</v>
      </c>
      <c r="E41">
        <f>+(C41-C$7)/C$8</f>
        <v>5599.9814493029853</v>
      </c>
      <c r="F41">
        <f t="shared" si="1"/>
        <v>5600</v>
      </c>
      <c r="G41">
        <f t="shared" si="8"/>
        <v>-2.1800000002258457E-2</v>
      </c>
      <c r="O41">
        <f ca="1">+C$11+C$12*$F41</f>
        <v>-9.8059073412146373E-3</v>
      </c>
      <c r="Q41" s="2">
        <f>+C41-15018.5</f>
        <v>44063.476999999999</v>
      </c>
      <c r="U41">
        <f>+C41-(C$7+F41*C$8)</f>
        <v>-2.1800000002258457E-2</v>
      </c>
    </row>
    <row r="42" spans="1:21" x14ac:dyDescent="0.2">
      <c r="A42" s="64" t="s">
        <v>115</v>
      </c>
      <c r="B42" s="65" t="s">
        <v>32</v>
      </c>
      <c r="C42" s="66">
        <v>59431.004600000102</v>
      </c>
      <c r="D42" s="64"/>
      <c r="E42">
        <f t="shared" ref="E42:E43" si="11">+(C42-C$7)/C$8</f>
        <v>5896.9862775899928</v>
      </c>
      <c r="F42">
        <f t="shared" ref="F42:F43" si="12">ROUND(2*E42,0)/2</f>
        <v>5897</v>
      </c>
      <c r="G42">
        <f t="shared" si="8"/>
        <v>-1.6125999900395982E-2</v>
      </c>
      <c r="O42">
        <f t="shared" ref="O42:O43" ca="1" si="13">+C$11+C$12*$F42</f>
        <v>-1.0328630142872402E-2</v>
      </c>
      <c r="Q42" s="2">
        <f t="shared" ref="Q42:Q43" si="14">+C42-15018.5</f>
        <v>44412.504600000102</v>
      </c>
      <c r="U42">
        <f t="shared" ref="U42" si="15">+C42-(C$7+F42*C$8)</f>
        <v>-1.6125999900395982E-2</v>
      </c>
    </row>
    <row r="43" spans="1:21" x14ac:dyDescent="0.2">
      <c r="A43" s="64" t="s">
        <v>116</v>
      </c>
      <c r="B43" s="65" t="s">
        <v>117</v>
      </c>
      <c r="C43" s="66">
        <v>59450.411999999997</v>
      </c>
      <c r="D43" s="64">
        <v>0.01</v>
      </c>
      <c r="E43">
        <f t="shared" si="11"/>
        <v>5913.5009930579508</v>
      </c>
      <c r="F43">
        <f t="shared" si="12"/>
        <v>5913.5</v>
      </c>
      <c r="G43">
        <f t="shared" si="8"/>
        <v>1.1669999948935583E-3</v>
      </c>
      <c r="K43">
        <f t="shared" ref="K43" si="16">+G43</f>
        <v>1.1669999948935583E-3</v>
      </c>
      <c r="O43">
        <f t="shared" ca="1" si="13"/>
        <v>-1.0357670298520055E-2</v>
      </c>
      <c r="Q43" s="2">
        <f t="shared" si="14"/>
        <v>44431.911999999997</v>
      </c>
    </row>
    <row r="44" spans="1:21" x14ac:dyDescent="0.2">
      <c r="A44" s="67" t="s">
        <v>118</v>
      </c>
      <c r="B44" s="68" t="s">
        <v>117</v>
      </c>
      <c r="C44" s="69">
        <v>59724.202000000048</v>
      </c>
      <c r="D44" s="70"/>
      <c r="E44">
        <f t="shared" ref="E44" si="17">+(C44-C$7)/C$8</f>
        <v>6146.4824304476906</v>
      </c>
      <c r="F44">
        <f t="shared" ref="F44" si="18">ROUND(2*E44,0)/2</f>
        <v>6146.5</v>
      </c>
      <c r="G44">
        <f t="shared" ref="G44" si="19">+C44-(C$7+F44*C$8)</f>
        <v>-2.0646999953896739E-2</v>
      </c>
      <c r="K44">
        <f t="shared" ref="K44" si="20">+G44</f>
        <v>-2.0646999953896739E-2</v>
      </c>
      <c r="O44">
        <f t="shared" ref="O44" ca="1" si="21">+C$11+C$12*$F44</f>
        <v>-1.0767752496453587E-2</v>
      </c>
      <c r="Q44" s="2">
        <f t="shared" ref="Q44" si="22">+C44-15018.5</f>
        <v>44705.702000000048</v>
      </c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rotectedRanges>
    <protectedRange sqref="A39:D41" name="Range1"/>
  </protectedRanges>
  <phoneticPr fontId="7" type="noConversion"/>
  <hyperlinks>
    <hyperlink ref="H3372" r:id="rId1" display="http://vsolj.cetus-net.org/bulletin.html" xr:uid="{00000000-0004-0000-0000-000000000000}"/>
    <hyperlink ref="H64835" r:id="rId2" display="http://vsolj.cetus-net.org/bulletin.html" xr:uid="{00000000-0004-0000-0000-000001000000}"/>
    <hyperlink ref="H64828" r:id="rId3" display="https://www.aavso.org/ejaavso" xr:uid="{00000000-0004-0000-0000-000002000000}"/>
    <hyperlink ref="AP1686" r:id="rId4" display="http://cdsbib.u-strasbg.fr/cgi-bin/cdsbib?1990RMxAA..21..381G" xr:uid="{00000000-0004-0000-0000-000003000000}"/>
    <hyperlink ref="AP1683" r:id="rId5" display="http://cdsbib.u-strasbg.fr/cgi-bin/cdsbib?1990RMxAA..21..381G" xr:uid="{00000000-0004-0000-0000-000004000000}"/>
    <hyperlink ref="AP1685" r:id="rId6" display="http://cdsbib.u-strasbg.fr/cgi-bin/cdsbib?1990RMxAA..21..381G" xr:uid="{00000000-0004-0000-0000-000005000000}"/>
    <hyperlink ref="AP1661" r:id="rId7" display="http://cdsbib.u-strasbg.fr/cgi-bin/cdsbib?1990RMxAA..21..381G" xr:uid="{00000000-0004-0000-0000-000006000000}"/>
    <hyperlink ref="I64835" r:id="rId8" display="http://vsolj.cetus-net.org/bulletin.html" xr:uid="{00000000-0004-0000-0000-000007000000}"/>
    <hyperlink ref="AQ1822" r:id="rId9" display="http://cdsbib.u-strasbg.fr/cgi-bin/cdsbib?1990RMxAA..21..381G" xr:uid="{00000000-0004-0000-0000-000008000000}"/>
    <hyperlink ref="AQ3466" r:id="rId10" display="http://cdsbib.u-strasbg.fr/cgi-bin/cdsbib?1990RMxAA..21..381G" xr:uid="{00000000-0004-0000-0000-000009000000}"/>
    <hyperlink ref="AQ1823" r:id="rId11" display="http://cdsbib.u-strasbg.fr/cgi-bin/cdsbib?1990RMxAA..21..381G" xr:uid="{00000000-0004-0000-0000-00000A000000}"/>
    <hyperlink ref="H64832" r:id="rId12" display="https://www.aavso.org/ejaavso" xr:uid="{00000000-0004-0000-0000-00000B000000}"/>
    <hyperlink ref="H2673" r:id="rId13" display="http://vsolj.cetus-net.org/bulletin.html" xr:uid="{00000000-0004-0000-0000-00000C000000}"/>
    <hyperlink ref="AP5911" r:id="rId14" display="http://cdsbib.u-strasbg.fr/cgi-bin/cdsbib?1990RMxAA..21..381G" xr:uid="{00000000-0004-0000-0000-00000D000000}"/>
    <hyperlink ref="AP5914" r:id="rId15" display="http://cdsbib.u-strasbg.fr/cgi-bin/cdsbib?1990RMxAA..21..381G" xr:uid="{00000000-0004-0000-0000-00000E000000}"/>
    <hyperlink ref="AP5912" r:id="rId16" display="http://cdsbib.u-strasbg.fr/cgi-bin/cdsbib?1990RMxAA..21..381G" xr:uid="{00000000-0004-0000-0000-00000F000000}"/>
    <hyperlink ref="AP5890" r:id="rId17" display="http://cdsbib.u-strasbg.fr/cgi-bin/cdsbib?1990RMxAA..21..381G" xr:uid="{00000000-0004-0000-0000-000010000000}"/>
    <hyperlink ref="I2673" r:id="rId18" display="http://vsolj.cetus-net.org/bulletin.html" xr:uid="{00000000-0004-0000-0000-000011000000}"/>
    <hyperlink ref="AQ6024" r:id="rId19" display="http://cdsbib.u-strasbg.fr/cgi-bin/cdsbib?1990RMxAA..21..381G" xr:uid="{00000000-0004-0000-0000-000012000000}"/>
    <hyperlink ref="AQ576" r:id="rId20" display="http://cdsbib.u-strasbg.fr/cgi-bin/cdsbib?1990RMxAA..21..381G" xr:uid="{00000000-0004-0000-0000-000013000000}"/>
    <hyperlink ref="AQ602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5"/>
  <sheetViews>
    <sheetView workbookViewId="0">
      <selection activeCell="A14" sqref="A14:D2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5" t="s">
        <v>42</v>
      </c>
      <c r="I1" s="36" t="s">
        <v>43</v>
      </c>
      <c r="J1" s="37" t="s">
        <v>44</v>
      </c>
    </row>
    <row r="2" spans="1:16" x14ac:dyDescent="0.2">
      <c r="I2" s="38" t="s">
        <v>45</v>
      </c>
      <c r="J2" s="39" t="s">
        <v>46</v>
      </c>
    </row>
    <row r="3" spans="1:16" x14ac:dyDescent="0.2">
      <c r="A3" s="40" t="s">
        <v>47</v>
      </c>
      <c r="I3" s="38" t="s">
        <v>48</v>
      </c>
      <c r="J3" s="39" t="s">
        <v>49</v>
      </c>
    </row>
    <row r="4" spans="1:16" x14ac:dyDescent="0.2">
      <c r="I4" s="38" t="s">
        <v>50</v>
      </c>
      <c r="J4" s="39" t="s">
        <v>49</v>
      </c>
    </row>
    <row r="5" spans="1:16" ht="13.5" thickBot="1" x14ac:dyDescent="0.25">
      <c r="I5" s="41" t="s">
        <v>51</v>
      </c>
      <c r="J5" s="42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21" si="0">P11</f>
        <v>IBVS 5809 </v>
      </c>
      <c r="B11" s="3" t="str">
        <f t="shared" ref="B11:B21" si="1">IF(H11=INT(H11),"I","II")</f>
        <v>I</v>
      </c>
      <c r="C11" s="10">
        <f t="shared" ref="C11:C21" si="2">1*G11</f>
        <v>52709.112999999998</v>
      </c>
      <c r="D11" s="12" t="str">
        <f t="shared" ref="D11:D21" si="3">VLOOKUP(F11,I$1:J$5,2,FALSE)</f>
        <v>vis</v>
      </c>
      <c r="E11" s="43">
        <f>VLOOKUP(C11,Active!C$21:E$973,3,FALSE)</f>
        <v>176.9966251346595</v>
      </c>
      <c r="F11" s="3" t="s">
        <v>51</v>
      </c>
      <c r="G11" s="12" t="str">
        <f t="shared" ref="G11:G21" si="4">MID(I11,3,LEN(I11)-3)</f>
        <v>52709.1130</v>
      </c>
      <c r="H11" s="10">
        <f t="shared" ref="H11:H21" si="5">1*K11</f>
        <v>-1990</v>
      </c>
      <c r="I11" s="44" t="s">
        <v>60</v>
      </c>
      <c r="J11" s="45" t="s">
        <v>61</v>
      </c>
      <c r="K11" s="44">
        <v>-1990</v>
      </c>
      <c r="L11" s="44" t="s">
        <v>62</v>
      </c>
      <c r="M11" s="45" t="s">
        <v>63</v>
      </c>
      <c r="N11" s="45" t="s">
        <v>51</v>
      </c>
      <c r="O11" s="46" t="s">
        <v>64</v>
      </c>
      <c r="P11" s="47" t="s">
        <v>65</v>
      </c>
    </row>
    <row r="12" spans="1:16" ht="12.75" customHeight="1" thickBot="1" x14ac:dyDescent="0.25">
      <c r="A12" s="10" t="str">
        <f t="shared" si="0"/>
        <v>IBVS 5809 </v>
      </c>
      <c r="B12" s="3" t="str">
        <f t="shared" si="1"/>
        <v>II</v>
      </c>
      <c r="C12" s="10">
        <f t="shared" si="2"/>
        <v>53083.42</v>
      </c>
      <c r="D12" s="12" t="str">
        <f t="shared" si="3"/>
        <v>vis</v>
      </c>
      <c r="E12" s="43">
        <f>VLOOKUP(C12,Active!C$21:E$973,3,FALSE)</f>
        <v>495.5129437913854</v>
      </c>
      <c r="F12" s="3" t="s">
        <v>51</v>
      </c>
      <c r="G12" s="12" t="str">
        <f t="shared" si="4"/>
        <v>53083.420</v>
      </c>
      <c r="H12" s="10">
        <f t="shared" si="5"/>
        <v>-1671.5</v>
      </c>
      <c r="I12" s="44" t="s">
        <v>66</v>
      </c>
      <c r="J12" s="45" t="s">
        <v>67</v>
      </c>
      <c r="K12" s="44">
        <v>-1671.5</v>
      </c>
      <c r="L12" s="44" t="s">
        <v>68</v>
      </c>
      <c r="M12" s="45" t="s">
        <v>63</v>
      </c>
      <c r="N12" s="45" t="s">
        <v>51</v>
      </c>
      <c r="O12" s="46" t="s">
        <v>64</v>
      </c>
      <c r="P12" s="47" t="s">
        <v>65</v>
      </c>
    </row>
    <row r="13" spans="1:16" ht="12.75" customHeight="1" thickBot="1" x14ac:dyDescent="0.25">
      <c r="A13" s="10" t="str">
        <f t="shared" si="0"/>
        <v>BAVM 231 </v>
      </c>
      <c r="B13" s="3" t="str">
        <f t="shared" si="1"/>
        <v>I</v>
      </c>
      <c r="C13" s="10">
        <f t="shared" si="2"/>
        <v>55790.376600000003</v>
      </c>
      <c r="D13" s="12" t="str">
        <f t="shared" si="3"/>
        <v>vis</v>
      </c>
      <c r="E13" s="43">
        <f>VLOOKUP(C13,Active!C$21:E$973,3,FALSE)</f>
        <v>2798.9960498928672</v>
      </c>
      <c r="F13" s="3" t="s">
        <v>51</v>
      </c>
      <c r="G13" s="12" t="str">
        <f t="shared" si="4"/>
        <v>55790.3766</v>
      </c>
      <c r="H13" s="10">
        <f t="shared" si="5"/>
        <v>632</v>
      </c>
      <c r="I13" s="44" t="s">
        <v>85</v>
      </c>
      <c r="J13" s="45" t="s">
        <v>86</v>
      </c>
      <c r="K13" s="44">
        <v>632</v>
      </c>
      <c r="L13" s="44" t="s">
        <v>87</v>
      </c>
      <c r="M13" s="45" t="s">
        <v>63</v>
      </c>
      <c r="N13" s="45" t="s">
        <v>88</v>
      </c>
      <c r="O13" s="46" t="s">
        <v>89</v>
      </c>
      <c r="P13" s="47" t="s">
        <v>90</v>
      </c>
    </row>
    <row r="14" spans="1:16" ht="12.75" customHeight="1" thickBot="1" x14ac:dyDescent="0.25">
      <c r="A14" s="10" t="str">
        <f t="shared" si="0"/>
        <v>IBVS 4267 </v>
      </c>
      <c r="B14" s="3" t="str">
        <f t="shared" si="1"/>
        <v>I</v>
      </c>
      <c r="C14" s="10">
        <f t="shared" si="2"/>
        <v>49926.427000000003</v>
      </c>
      <c r="D14" s="12" t="str">
        <f t="shared" si="3"/>
        <v>vis</v>
      </c>
      <c r="E14" s="43">
        <f>VLOOKUP(C14,Active!C$21:E$973,3,FALSE)</f>
        <v>-2190.9283687810475</v>
      </c>
      <c r="F14" s="3" t="s">
        <v>51</v>
      </c>
      <c r="G14" s="12" t="str">
        <f t="shared" si="4"/>
        <v>49926.427</v>
      </c>
      <c r="H14" s="10">
        <f t="shared" si="5"/>
        <v>-4358</v>
      </c>
      <c r="I14" s="44" t="s">
        <v>53</v>
      </c>
      <c r="J14" s="45" t="s">
        <v>54</v>
      </c>
      <c r="K14" s="44">
        <v>-4358</v>
      </c>
      <c r="L14" s="44" t="s">
        <v>55</v>
      </c>
      <c r="M14" s="45" t="s">
        <v>56</v>
      </c>
      <c r="N14" s="45" t="s">
        <v>57</v>
      </c>
      <c r="O14" s="46" t="s">
        <v>58</v>
      </c>
      <c r="P14" s="47" t="s">
        <v>59</v>
      </c>
    </row>
    <row r="15" spans="1:16" ht="12.75" customHeight="1" thickBot="1" x14ac:dyDescent="0.25">
      <c r="A15" s="10" t="str">
        <f t="shared" si="0"/>
        <v>OEJV 0094 </v>
      </c>
      <c r="B15" s="3" t="str">
        <f t="shared" si="1"/>
        <v>I</v>
      </c>
      <c r="C15" s="10">
        <f t="shared" si="2"/>
        <v>54697.474099999999</v>
      </c>
      <c r="D15" s="12" t="str">
        <f t="shared" si="3"/>
        <v>vis</v>
      </c>
      <c r="E15" s="43" t="e">
        <f>VLOOKUP(C15,Active!C$21:E$973,3,FALSE)</f>
        <v>#N/A</v>
      </c>
      <c r="F15" s="3" t="s">
        <v>51</v>
      </c>
      <c r="G15" s="12" t="str">
        <f t="shared" si="4"/>
        <v>54697.4741</v>
      </c>
      <c r="H15" s="10">
        <f t="shared" si="5"/>
        <v>-298</v>
      </c>
      <c r="I15" s="44" t="s">
        <v>69</v>
      </c>
      <c r="J15" s="45" t="s">
        <v>70</v>
      </c>
      <c r="K15" s="44">
        <v>-298</v>
      </c>
      <c r="L15" s="44" t="s">
        <v>71</v>
      </c>
      <c r="M15" s="45" t="s">
        <v>63</v>
      </c>
      <c r="N15" s="45" t="s">
        <v>51</v>
      </c>
      <c r="O15" s="46" t="s">
        <v>72</v>
      </c>
      <c r="P15" s="47" t="s">
        <v>73</v>
      </c>
    </row>
    <row r="16" spans="1:16" ht="12.75" customHeight="1" thickBot="1" x14ac:dyDescent="0.25">
      <c r="A16" s="10" t="str">
        <f t="shared" si="0"/>
        <v>OEJV 0094 </v>
      </c>
      <c r="B16" s="3" t="str">
        <f t="shared" si="1"/>
        <v>I</v>
      </c>
      <c r="C16" s="10">
        <f t="shared" si="2"/>
        <v>54697.479800000001</v>
      </c>
      <c r="D16" s="12" t="str">
        <f t="shared" si="3"/>
        <v>vis</v>
      </c>
      <c r="E16" s="43" t="e">
        <f>VLOOKUP(C16,Active!C$21:E$973,3,FALSE)</f>
        <v>#N/A</v>
      </c>
      <c r="F16" s="3" t="s">
        <v>51</v>
      </c>
      <c r="G16" s="12" t="str">
        <f t="shared" si="4"/>
        <v>54697.4798</v>
      </c>
      <c r="H16" s="10">
        <f t="shared" si="5"/>
        <v>-298</v>
      </c>
      <c r="I16" s="44" t="s">
        <v>74</v>
      </c>
      <c r="J16" s="45" t="s">
        <v>75</v>
      </c>
      <c r="K16" s="44">
        <v>-298</v>
      </c>
      <c r="L16" s="44" t="s">
        <v>76</v>
      </c>
      <c r="M16" s="45" t="s">
        <v>63</v>
      </c>
      <c r="N16" s="45" t="s">
        <v>32</v>
      </c>
      <c r="O16" s="46" t="s">
        <v>72</v>
      </c>
      <c r="P16" s="47" t="s">
        <v>73</v>
      </c>
    </row>
    <row r="17" spans="1:16" ht="12.75" customHeight="1" thickBot="1" x14ac:dyDescent="0.25">
      <c r="A17" s="10" t="str">
        <f t="shared" si="0"/>
        <v>OEJV 0094 </v>
      </c>
      <c r="B17" s="3" t="str">
        <f t="shared" si="1"/>
        <v>I</v>
      </c>
      <c r="C17" s="10">
        <f t="shared" si="2"/>
        <v>54697.480799999998</v>
      </c>
      <c r="D17" s="12" t="str">
        <f t="shared" si="3"/>
        <v>vis</v>
      </c>
      <c r="E17" s="43" t="e">
        <f>VLOOKUP(C17,Active!C$21:E$973,3,FALSE)</f>
        <v>#N/A</v>
      </c>
      <c r="F17" s="3" t="s">
        <v>51</v>
      </c>
      <c r="G17" s="12" t="str">
        <f t="shared" si="4"/>
        <v>54697.4808</v>
      </c>
      <c r="H17" s="10">
        <f t="shared" si="5"/>
        <v>-298</v>
      </c>
      <c r="I17" s="44" t="s">
        <v>77</v>
      </c>
      <c r="J17" s="45" t="s">
        <v>78</v>
      </c>
      <c r="K17" s="44">
        <v>-298</v>
      </c>
      <c r="L17" s="44" t="s">
        <v>79</v>
      </c>
      <c r="M17" s="45" t="s">
        <v>63</v>
      </c>
      <c r="N17" s="45" t="s">
        <v>80</v>
      </c>
      <c r="O17" s="46" t="s">
        <v>72</v>
      </c>
      <c r="P17" s="47" t="s">
        <v>73</v>
      </c>
    </row>
    <row r="18" spans="1:16" ht="12.75" customHeight="1" thickBot="1" x14ac:dyDescent="0.25">
      <c r="A18" s="10" t="str">
        <f t="shared" si="0"/>
        <v>OEJV 0094 </v>
      </c>
      <c r="B18" s="3" t="str">
        <f t="shared" si="1"/>
        <v>I</v>
      </c>
      <c r="C18" s="10">
        <f t="shared" si="2"/>
        <v>54697.482600000003</v>
      </c>
      <c r="D18" s="12" t="str">
        <f t="shared" si="3"/>
        <v>vis</v>
      </c>
      <c r="E18" s="43" t="e">
        <f>VLOOKUP(C18,Active!C$21:E$973,3,FALSE)</f>
        <v>#N/A</v>
      </c>
      <c r="F18" s="3" t="s">
        <v>51</v>
      </c>
      <c r="G18" s="12" t="str">
        <f t="shared" si="4"/>
        <v>54697.4826</v>
      </c>
      <c r="H18" s="10">
        <f t="shared" si="5"/>
        <v>-298</v>
      </c>
      <c r="I18" s="44" t="s">
        <v>81</v>
      </c>
      <c r="J18" s="45" t="s">
        <v>82</v>
      </c>
      <c r="K18" s="44">
        <v>-298</v>
      </c>
      <c r="L18" s="44" t="s">
        <v>83</v>
      </c>
      <c r="M18" s="45" t="s">
        <v>63</v>
      </c>
      <c r="N18" s="45" t="s">
        <v>84</v>
      </c>
      <c r="O18" s="46" t="s">
        <v>72</v>
      </c>
      <c r="P18" s="47" t="s">
        <v>73</v>
      </c>
    </row>
    <row r="19" spans="1:16" ht="12.75" customHeight="1" thickBot="1" x14ac:dyDescent="0.25">
      <c r="A19" s="10" t="str">
        <f t="shared" si="0"/>
        <v>BAVM 228 </v>
      </c>
      <c r="B19" s="3" t="str">
        <f t="shared" si="1"/>
        <v>I</v>
      </c>
      <c r="C19" s="10">
        <f t="shared" si="2"/>
        <v>56159.376900000003</v>
      </c>
      <c r="D19" s="12" t="str">
        <f t="shared" si="3"/>
        <v>vis</v>
      </c>
      <c r="E19" s="43">
        <f>VLOOKUP(C19,Active!C$21:E$973,3,FALSE)</f>
        <v>3112.9966353460572</v>
      </c>
      <c r="F19" s="3" t="s">
        <v>51</v>
      </c>
      <c r="G19" s="12" t="str">
        <f t="shared" si="4"/>
        <v>56159.3769</v>
      </c>
      <c r="H19" s="10">
        <f t="shared" si="5"/>
        <v>946</v>
      </c>
      <c r="I19" s="44" t="s">
        <v>91</v>
      </c>
      <c r="J19" s="45" t="s">
        <v>92</v>
      </c>
      <c r="K19" s="44">
        <v>946</v>
      </c>
      <c r="L19" s="44" t="s">
        <v>93</v>
      </c>
      <c r="M19" s="45" t="s">
        <v>63</v>
      </c>
      <c r="N19" s="45" t="s">
        <v>88</v>
      </c>
      <c r="O19" s="46" t="s">
        <v>94</v>
      </c>
      <c r="P19" s="47" t="s">
        <v>95</v>
      </c>
    </row>
    <row r="20" spans="1:16" ht="12.75" customHeight="1" thickBot="1" x14ac:dyDescent="0.25">
      <c r="A20" s="10" t="str">
        <f t="shared" si="0"/>
        <v>BAVM 231 </v>
      </c>
      <c r="B20" s="3" t="str">
        <f t="shared" si="1"/>
        <v>I</v>
      </c>
      <c r="C20" s="10">
        <f t="shared" si="2"/>
        <v>56179.354700000004</v>
      </c>
      <c r="D20" s="12" t="str">
        <f t="shared" si="3"/>
        <v>vis</v>
      </c>
      <c r="E20" s="43">
        <f>VLOOKUP(C20,Active!C$21:E$973,3,FALSE)</f>
        <v>3129.9967323542896</v>
      </c>
      <c r="F20" s="3" t="s">
        <v>51</v>
      </c>
      <c r="G20" s="12" t="str">
        <f t="shared" si="4"/>
        <v>56179.3547</v>
      </c>
      <c r="H20" s="10">
        <f t="shared" si="5"/>
        <v>963</v>
      </c>
      <c r="I20" s="44" t="s">
        <v>96</v>
      </c>
      <c r="J20" s="45" t="s">
        <v>97</v>
      </c>
      <c r="K20" s="44">
        <v>963</v>
      </c>
      <c r="L20" s="44" t="s">
        <v>98</v>
      </c>
      <c r="M20" s="45" t="s">
        <v>63</v>
      </c>
      <c r="N20" s="45" t="s">
        <v>88</v>
      </c>
      <c r="O20" s="46" t="s">
        <v>94</v>
      </c>
      <c r="P20" s="47" t="s">
        <v>90</v>
      </c>
    </row>
    <row r="21" spans="1:16" ht="12.75" customHeight="1" thickBot="1" x14ac:dyDescent="0.25">
      <c r="A21" s="10" t="str">
        <f t="shared" si="0"/>
        <v>BAVM 241 (=IBVS 6157) </v>
      </c>
      <c r="B21" s="3" t="str">
        <f t="shared" si="1"/>
        <v>I</v>
      </c>
      <c r="C21" s="10">
        <f t="shared" si="2"/>
        <v>57213.496099999997</v>
      </c>
      <c r="D21" s="12" t="str">
        <f t="shared" si="3"/>
        <v>vis</v>
      </c>
      <c r="E21" s="43">
        <f>VLOOKUP(C21,Active!C$21:E$973,3,FALSE)</f>
        <v>4009.9987405948777</v>
      </c>
      <c r="F21" s="3" t="s">
        <v>51</v>
      </c>
      <c r="G21" s="12" t="str">
        <f t="shared" si="4"/>
        <v>57213.4961</v>
      </c>
      <c r="H21" s="10">
        <f t="shared" si="5"/>
        <v>1843</v>
      </c>
      <c r="I21" s="44" t="s">
        <v>99</v>
      </c>
      <c r="J21" s="45" t="s">
        <v>100</v>
      </c>
      <c r="K21" s="44">
        <v>1843</v>
      </c>
      <c r="L21" s="44" t="s">
        <v>101</v>
      </c>
      <c r="M21" s="45" t="s">
        <v>63</v>
      </c>
      <c r="N21" s="45">
        <v>0</v>
      </c>
      <c r="O21" s="46" t="s">
        <v>102</v>
      </c>
      <c r="P21" s="47" t="s">
        <v>103</v>
      </c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</sheetData>
  <phoneticPr fontId="7" type="noConversion"/>
  <hyperlinks>
    <hyperlink ref="A3" r:id="rId1" xr:uid="{00000000-0004-0000-0100-000000000000}"/>
    <hyperlink ref="P14" r:id="rId2" display="http://www.konkoly.hu/cgi-bin/IBVS?4267" xr:uid="{00000000-0004-0000-0100-000001000000}"/>
    <hyperlink ref="P11" r:id="rId3" display="http://www.konkoly.hu/cgi-bin/IBVS?5809" xr:uid="{00000000-0004-0000-0100-000002000000}"/>
    <hyperlink ref="P12" r:id="rId4" display="http://www.konkoly.hu/cgi-bin/IBVS?5809" xr:uid="{00000000-0004-0000-0100-000003000000}"/>
    <hyperlink ref="P15" r:id="rId5" display="http://var.astro.cz/oejv/issues/oejv0094.pdf" xr:uid="{00000000-0004-0000-0100-000004000000}"/>
    <hyperlink ref="P16" r:id="rId6" display="http://var.astro.cz/oejv/issues/oejv0094.pdf" xr:uid="{00000000-0004-0000-0100-000005000000}"/>
    <hyperlink ref="P17" r:id="rId7" display="http://var.astro.cz/oejv/issues/oejv0094.pdf" xr:uid="{00000000-0004-0000-0100-000006000000}"/>
    <hyperlink ref="P18" r:id="rId8" display="http://var.astro.cz/oejv/issues/oejv0094.pdf" xr:uid="{00000000-0004-0000-0100-000007000000}"/>
    <hyperlink ref="P13" r:id="rId9" display="http://www.bav-astro.de/sfs/BAVM_link.php?BAVMnr=231" xr:uid="{00000000-0004-0000-0100-000008000000}"/>
    <hyperlink ref="P19" r:id="rId10" display="http://www.bav-astro.de/sfs/BAVM_link.php?BAVMnr=228" xr:uid="{00000000-0004-0000-0100-000009000000}"/>
    <hyperlink ref="P20" r:id="rId11" display="http://www.bav-astro.de/sfs/BAVM_link.php?BAVMnr=231" xr:uid="{00000000-0004-0000-0100-00000A000000}"/>
    <hyperlink ref="P21" r:id="rId12" display="http://www.bav-astro.de/sfs/BAVM_link.php?BAVMnr=241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2023-08-19T06:06:55Z</dcterms:modified>
</cp:coreProperties>
</file>