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5872B5D-436D-44DF-A307-1D6ACEA61020}" xr6:coauthVersionLast="47" xr6:coauthVersionMax="47" xr10:uidLastSave="{00000000-0000-0000-0000-000000000000}"/>
  <bookViews>
    <workbookView xWindow="14745" yWindow="765" windowWidth="13350" windowHeight="1462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9" i="1"/>
  <c r="F29" i="1"/>
  <c r="G29" i="1"/>
  <c r="K29" i="1"/>
  <c r="D9" i="1"/>
  <c r="C9" i="1"/>
  <c r="Q29" i="1"/>
  <c r="E28" i="1"/>
  <c r="F28" i="1"/>
  <c r="G28" i="1"/>
  <c r="J28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8" i="1"/>
  <c r="Q23" i="1"/>
  <c r="Q24" i="1"/>
  <c r="Q25" i="1"/>
  <c r="Q26" i="1"/>
  <c r="Q27" i="1"/>
  <c r="Q22" i="1"/>
  <c r="F16" i="1"/>
  <c r="F17" i="1" s="1"/>
  <c r="C17" i="1"/>
  <c r="Q21" i="1"/>
  <c r="C12" i="1"/>
  <c r="C11" i="1"/>
  <c r="O30" i="1" l="1"/>
  <c r="O22" i="1"/>
  <c r="O26" i="1"/>
  <c r="O27" i="1"/>
  <c r="O24" i="1"/>
  <c r="O23" i="1"/>
  <c r="C15" i="1"/>
  <c r="O29" i="1"/>
  <c r="O25" i="1"/>
  <c r="O21" i="1"/>
  <c r="O2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<sst xmlns="http://schemas.openxmlformats.org/spreadsheetml/2006/main" count="67" uniqueCount="51">
  <si>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</si>
  <si>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</si>
  <si>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</si>
  <si>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</si>
  <si>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</si>
  <si>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</si>
  <si>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</si>
  <si>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</si>
  <si>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</si>
  <si>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</si>
  <si>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</si>
  <si>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</si>
  <si>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</si>
  <si>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</si>
  <si>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</si>
  <si>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</si>
  <si>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</si>
  <si>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</si>
  <si>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</si>
  <si>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</si>
  <si>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</si>
  <si>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</si>
  <si>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</si>
  <si>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</si>
  <si>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</si>
  <si>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</si>
  <si>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</si>
  <si>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</si>
  <si>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</si>
  <si>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</si>
  <si>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</si>
  <si>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</si>
  <si>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</si>
  <si>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</si>
  <si>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</si>
  <si>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</si>
  <si>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</si>
  <si>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</si>
  <si>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</si>
  <si>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</si>
  <si>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</si>
  <si>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V1470 Aql / SAO 105633 / HD 190341</t>
  </si>
  <si>
    <t>E</t>
  </si>
  <si>
    <t>VSX</t>
  </si>
  <si>
    <t>IBVS 6007</t>
  </si>
  <si>
    <t>I</t>
  </si>
  <si>
    <t>IBVS 6114</t>
  </si>
  <si>
    <t>II</t>
  </si>
  <si>
    <t>OEJV 0168</t>
  </si>
  <si>
    <t>OEJV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</si>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</sst>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3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horizontal="center" vertical="center"/>
    </xf>
    <xf numFmtId="0" fontId="32" fillId="0" borderId="0" xfId="42" applyFont="1" applyAlignment="1">
      <alignment horizontal="left"/>
    </xf>
    <xf numFmtId="4" fontId="34" fillId="0" borderId="0" xfId="28" applyFont="1" applyBorder="1"/>
    <xf numFmtId="0" fontId="34" fillId="0" borderId="0" xfId="0" applyFont="1" applyAlignment="1">
      <alignment vertical="center" wrapText="1"/>
    </xf>
    <xf numFmtId="173" fontId="34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17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V1470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5B-4159-9298-753CF66724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-6.1799999995855615E-2</c:v>
                </c:pt>
                <c:pt idx="2">
                  <c:v>-7.9389999998966232E-2</c:v>
                </c:pt>
                <c:pt idx="3">
                  <c:v>-8.510000000387663E-2</c:v>
                </c:pt>
                <c:pt idx="4">
                  <c:v>-7.4880000000121072E-2</c:v>
                </c:pt>
                <c:pt idx="5">
                  <c:v>-9.5480000003590249E-2</c:v>
                </c:pt>
                <c:pt idx="6">
                  <c:v>-0.11663000000407919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5B-4159-9298-753CF66724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-9.3489999999292195E-2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5B-4159-9298-753CF66724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-0.10500000000320142</c:v>
                </c:pt>
                <c:pt idx="9">
                  <c:v>-0.1170000001511653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5B-4159-9298-753CF66724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5B-4159-9298-753CF66724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5B-4159-9298-753CF66724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5B-4159-9298-753CF66724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9.5083398084431642E-3</c:v>
                </c:pt>
                <c:pt idx="1">
                  <c:v>-7.4590406024354572E-2</c:v>
                </c:pt>
                <c:pt idx="2">
                  <c:v>-8.2133345437724381E-2</c:v>
                </c:pt>
                <c:pt idx="3">
                  <c:v>-8.6337277004109148E-2</c:v>
                </c:pt>
                <c:pt idx="4">
                  <c:v>-8.6372477388038216E-2</c:v>
                </c:pt>
                <c:pt idx="5">
                  <c:v>-9.0757439500343859E-2</c:v>
                </c:pt>
                <c:pt idx="6">
                  <c:v>-9.0792639884272913E-2</c:v>
                </c:pt>
                <c:pt idx="7">
                  <c:v>-9.097367043019379E-2</c:v>
                </c:pt>
                <c:pt idx="8">
                  <c:v>-0.10048783134359091</c:v>
                </c:pt>
                <c:pt idx="9">
                  <c:v>-0.12632491314752026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5B-4159-9298-753CF667244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5B-4159-9298-753CF6672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363360"/>
        <c:axId val="1"/>
      </c:scatterChart>
      <c:valAx>
        <c:axId val="605363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363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97937099967764"/>
          <c:w val="0.7548872180451128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0</xdr:row>
      <xdr:rowOff>0</xdr:rowOff>
    </xdr:from>
    <xdr:to>
      <xdr:col>18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179B2A-B29C-1B0F-6993-2F224555F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41</v>
      </c>
    </row>
    <row r="2" spans="1:6">
      <c r="A2" t="s">
        <v>24</v>
      </c>
      <c r="B2" t="s">
        <v>42</v>
      </c>
      <c r="C2" s="3"/>
      <c r="D2" s="3"/>
    </row>
    <row r="3" spans="1:6" ht="13.5" thickBot="1"/>
    <row r="4" spans="1:6" ht="14.25" thickTop="1" thickBot="1">
      <c r="A4" s="5" t="s">
        <v>1</v>
      </c>
      <c r="C4" s="27" t="s">
        <v>40</v>
      </c>
      <c r="D4" s="28" t="s">
        <v>40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2</v>
      </c>
    </row>
    <row r="7" spans="1:6">
      <c r="A7" t="s">
        <v>3</v>
      </c>
      <c r="C7" s="8">
        <v>48500.072</v>
      </c>
      <c r="D7" s="29" t="s">
        <v>43</v>
      </c>
    </row>
    <row r="8" spans="1:6">
      <c r="A8" t="s">
        <v>4</v>
      </c>
      <c r="C8" s="8">
        <v>0.83499999999999996</v>
      </c>
      <c r="D8" s="29" t="s">
        <v>43</v>
      </c>
    </row>
    <row r="9" spans="1:6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21">
        <f ca="1">INTERCEPT(INDIRECT($D$9):G992,INDIRECT($C$9):F992)</f>
        <v>9.5083398084431642E-3</v>
      </c>
      <c r="D11" s="3"/>
      <c r="E11" s="10"/>
    </row>
    <row r="12" spans="1:6">
      <c r="A12" s="10" t="s">
        <v>17</v>
      </c>
      <c r="B12" s="10"/>
      <c r="C12" s="21">
        <f ca="1">SLOPE(INDIRECT($D$9):G992,INDIRECT($C$9):F992)</f>
        <v>-1.0057252551159739E-5</v>
      </c>
      <c r="D12" s="3"/>
      <c r="E12" s="10"/>
    </row>
    <row r="13" spans="1:6">
      <c r="A13" s="10" t="s">
        <v>19</v>
      </c>
      <c r="B13" s="10"/>
      <c r="C13" s="3" t="s">
        <v>14</v>
      </c>
    </row>
    <row r="14" spans="1:6">
      <c r="A14" s="10"/>
      <c r="B14" s="10"/>
      <c r="C14" s="10"/>
    </row>
    <row r="15" spans="1:6">
      <c r="A15" s="12" t="s">
        <v>18</v>
      </c>
      <c r="B15" s="10"/>
      <c r="C15" s="13">
        <f ca="1">(C7+C11)+(C8+C12)*INT(MAX(F21:F3533))</f>
        <v>59777.455675086851</v>
      </c>
      <c r="E15" s="14" t="s">
        <v>37</v>
      </c>
      <c r="F15" s="11">
        <v>1</v>
      </c>
    </row>
    <row r="16" spans="1:6">
      <c r="A16" s="16" t="s">
        <v>5</v>
      </c>
      <c r="B16" s="10"/>
      <c r="C16" s="17">
        <f ca="1">+C8+C12</f>
        <v>0.83498994274744875</v>
      </c>
      <c r="E16" s="14" t="s">
        <v>33</v>
      </c>
      <c r="F16" s="15">
        <f ca="1">NOW()+15018.5+$C$5/24</f>
        <v>60169.758456365736</v>
      </c>
    </row>
    <row r="17" spans="1:18" ht="13.5" thickBot="1">
      <c r="A17" s="14" t="s">
        <v>30</v>
      </c>
      <c r="B17" s="10"/>
      <c r="C17" s="10">
        <f>COUNT(C21:C2191)</f>
        <v>10</v>
      </c>
      <c r="E17" s="14" t="s">
        <v>38</v>
      </c>
      <c r="F17" s="15">
        <f ca="1">ROUND(2*(F16-$C$7)/$C$8,0)/2+F15</f>
        <v>13976.5</v>
      </c>
    </row>
    <row r="18" spans="1:18" ht="14.25" thickTop="1" thickBot="1">
      <c r="A18" s="16" t="s">
        <v>6</v>
      </c>
      <c r="B18" s="10"/>
      <c r="C18" s="19">
        <f ca="1">+C15</f>
        <v>59777.455675086851</v>
      </c>
      <c r="D18" s="20">
        <f ca="1">+C16</f>
        <v>0.83498994274744875</v>
      </c>
      <c r="E18" s="14" t="s">
        <v>39</v>
      </c>
      <c r="F18" s="23">
        <f ca="1">ROUND(2*(F16-$C$15)/$C$16,0)/2+F15</f>
        <v>471</v>
      </c>
    </row>
    <row r="19" spans="1:18" ht="13.5" thickTop="1">
      <c r="E19" s="14" t="s">
        <v>34</v>
      </c>
      <c r="F19" s="18">
        <f ca="1">+$C$15+$C$16*F18-15018.5-$C$5/24</f>
        <v>45152.631771454231</v>
      </c>
    </row>
    <row r="20" spans="1:18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43</v>
      </c>
      <c r="I20" s="7" t="s">
        <v>29</v>
      </c>
      <c r="J20" s="7" t="s">
        <v>49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  <c r="R20" s="26" t="s">
        <v>36</v>
      </c>
    </row>
    <row r="21" spans="1:18">
      <c r="A21" t="s">
        <v>43</v>
      </c>
      <c r="C21" s="8">
        <v>48500.072</v>
      </c>
      <c r="D21" s="8" t="s">
        <v>14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9.5083398084431642E-3</v>
      </c>
      <c r="Q21" s="2">
        <f t="shared" ref="Q21:Q27" si="4">+C21-15018.5</f>
        <v>33481.572</v>
      </c>
    </row>
    <row r="22" spans="1:18" s="40" customFormat="1">
      <c r="A22" s="30" t="s">
        <v>44</v>
      </c>
      <c r="B22" s="31" t="s">
        <v>45</v>
      </c>
      <c r="C22" s="30">
        <v>55482.280200000001</v>
      </c>
      <c r="D22" s="30">
        <v>6.2E-4</v>
      </c>
      <c r="E22" s="40">
        <f t="shared" si="0"/>
        <v>8361.9259880239533</v>
      </c>
      <c r="F22" s="40">
        <f t="shared" si="1"/>
        <v>8362</v>
      </c>
      <c r="G22" s="40">
        <f t="shared" si="2"/>
        <v>-6.1799999995855615E-2</v>
      </c>
      <c r="I22" s="40">
        <f t="shared" ref="I22:I27" si="5">+G22</f>
        <v>-6.1799999995855615E-2</v>
      </c>
      <c r="O22" s="40">
        <f t="shared" ca="1" si="3"/>
        <v>-7.4590406024354572E-2</v>
      </c>
      <c r="Q22" s="41">
        <f t="shared" si="4"/>
        <v>40463.780200000001</v>
      </c>
    </row>
    <row r="23" spans="1:18" s="40" customFormat="1">
      <c r="A23" s="42" t="s">
        <v>46</v>
      </c>
      <c r="B23" s="43" t="s">
        <v>45</v>
      </c>
      <c r="C23" s="42">
        <v>56108.512609999998</v>
      </c>
      <c r="D23" s="42">
        <v>8.5999999999999998E-4</v>
      </c>
      <c r="E23" s="40">
        <f t="shared" si="0"/>
        <v>9111.904922155687</v>
      </c>
      <c r="F23" s="40">
        <f t="shared" si="1"/>
        <v>9112</v>
      </c>
      <c r="G23" s="40">
        <f t="shared" si="2"/>
        <v>-7.9389999998966232E-2</v>
      </c>
      <c r="I23" s="40">
        <f t="shared" si="5"/>
        <v>-7.9389999998966232E-2</v>
      </c>
      <c r="O23" s="40">
        <f t="shared" ca="1" si="3"/>
        <v>-8.2133345437724381E-2</v>
      </c>
      <c r="Q23" s="41">
        <f t="shared" si="4"/>
        <v>41090.012609999998</v>
      </c>
    </row>
    <row r="24" spans="1:18" s="40" customFormat="1">
      <c r="A24" s="42" t="s">
        <v>46</v>
      </c>
      <c r="B24" s="43" t="s">
        <v>45</v>
      </c>
      <c r="C24" s="42">
        <v>56457.536899999999</v>
      </c>
      <c r="D24" s="42">
        <v>7.2999999999999996E-4</v>
      </c>
      <c r="E24" s="40">
        <f t="shared" si="0"/>
        <v>9529.898083832335</v>
      </c>
      <c r="F24" s="40">
        <f t="shared" si="1"/>
        <v>9530</v>
      </c>
      <c r="G24" s="40">
        <f t="shared" si="2"/>
        <v>-8.510000000387663E-2</v>
      </c>
      <c r="I24" s="40">
        <f t="shared" si="5"/>
        <v>-8.510000000387663E-2</v>
      </c>
      <c r="O24" s="40">
        <f t="shared" ca="1" si="3"/>
        <v>-8.6337277004109148E-2</v>
      </c>
      <c r="Q24" s="41">
        <f t="shared" si="4"/>
        <v>41439.036899999999</v>
      </c>
    </row>
    <row r="25" spans="1:18" s="40" customFormat="1">
      <c r="A25" s="42" t="s">
        <v>46</v>
      </c>
      <c r="B25" s="43" t="s">
        <v>47</v>
      </c>
      <c r="C25" s="42">
        <v>56460.469620000003</v>
      </c>
      <c r="D25" s="42">
        <v>1.08E-3</v>
      </c>
      <c r="E25" s="40">
        <f t="shared" si="0"/>
        <v>9533.4103233532987</v>
      </c>
      <c r="F25" s="40">
        <f t="shared" si="1"/>
        <v>9533.5</v>
      </c>
      <c r="G25" s="40">
        <f t="shared" si="2"/>
        <v>-7.4880000000121072E-2</v>
      </c>
      <c r="I25" s="40">
        <f t="shared" si="5"/>
        <v>-7.4880000000121072E-2</v>
      </c>
      <c r="O25" s="40">
        <f t="shared" ca="1" si="3"/>
        <v>-8.6372477388038216E-2</v>
      </c>
      <c r="Q25" s="41">
        <f t="shared" si="4"/>
        <v>41441.969620000003</v>
      </c>
    </row>
    <row r="26" spans="1:18" s="40" customFormat="1">
      <c r="A26" s="42" t="s">
        <v>46</v>
      </c>
      <c r="B26" s="43" t="s">
        <v>47</v>
      </c>
      <c r="C26" s="42">
        <v>56824.509019999998</v>
      </c>
      <c r="D26" s="42">
        <v>1.2700000000000001E-3</v>
      </c>
      <c r="E26" s="40">
        <f t="shared" si="0"/>
        <v>9969.3856526946074</v>
      </c>
      <c r="F26" s="40">
        <f t="shared" si="1"/>
        <v>9969.5</v>
      </c>
      <c r="G26" s="40">
        <f t="shared" si="2"/>
        <v>-9.5480000003590249E-2</v>
      </c>
      <c r="I26" s="40">
        <f t="shared" si="5"/>
        <v>-9.5480000003590249E-2</v>
      </c>
      <c r="O26" s="40">
        <f t="shared" ca="1" si="3"/>
        <v>-9.0757439500343859E-2</v>
      </c>
      <c r="Q26" s="41">
        <f t="shared" si="4"/>
        <v>41806.009019999998</v>
      </c>
    </row>
    <row r="27" spans="1:18" s="40" customFormat="1">
      <c r="A27" s="42" t="s">
        <v>46</v>
      </c>
      <c r="B27" s="43" t="s">
        <v>45</v>
      </c>
      <c r="C27" s="42">
        <v>56827.410369999998</v>
      </c>
      <c r="D27" s="42">
        <v>4.3200000000000001E-3</v>
      </c>
      <c r="E27" s="40">
        <f t="shared" si="0"/>
        <v>9972.8603233532904</v>
      </c>
      <c r="F27" s="40">
        <f t="shared" si="1"/>
        <v>9973</v>
      </c>
      <c r="G27" s="40">
        <f t="shared" si="2"/>
        <v>-0.11663000000407919</v>
      </c>
      <c r="I27" s="40">
        <f t="shared" si="5"/>
        <v>-0.11663000000407919</v>
      </c>
      <c r="O27" s="40">
        <f t="shared" ca="1" si="3"/>
        <v>-9.0792639884272913E-2</v>
      </c>
      <c r="Q27" s="41">
        <f t="shared" si="4"/>
        <v>41808.910369999998</v>
      </c>
    </row>
    <row r="28" spans="1:18" s="40" customFormat="1">
      <c r="A28" s="32" t="s">
        <v>48</v>
      </c>
      <c r="B28" s="33" t="s">
        <v>45</v>
      </c>
      <c r="C28" s="44">
        <v>56842.463510000001</v>
      </c>
      <c r="D28" s="32">
        <v>1.1000000000000001E-3</v>
      </c>
      <c r="E28" s="40">
        <f>+(C28-C$7)/C$8</f>
        <v>9990.8880359281466</v>
      </c>
      <c r="F28" s="40">
        <f t="shared" si="1"/>
        <v>9991</v>
      </c>
      <c r="G28" s="40">
        <f>+C28-(C$7+F28*C$8)</f>
        <v>-9.3489999999292195E-2</v>
      </c>
      <c r="J28" s="40">
        <f>+G28</f>
        <v>-9.3489999999292195E-2</v>
      </c>
      <c r="O28" s="40">
        <f ca="1">+C$11+C$12*$F28</f>
        <v>-9.097367043019379E-2</v>
      </c>
      <c r="Q28" s="41">
        <f>+C28-15018.5</f>
        <v>41823.963510000001</v>
      </c>
    </row>
    <row r="29" spans="1:18" s="40" customFormat="1">
      <c r="A29" s="34" t="s">
        <v>0</v>
      </c>
      <c r="B29" s="35" t="s">
        <v>45</v>
      </c>
      <c r="C29" s="36">
        <v>57632.362000000001</v>
      </c>
      <c r="D29" s="36">
        <v>5.0000000000000001E-4</v>
      </c>
      <c r="E29" s="40">
        <f>+(C29-C$7)/C$8</f>
        <v>10936.874251497007</v>
      </c>
      <c r="F29" s="40">
        <f t="shared" si="1"/>
        <v>10937</v>
      </c>
      <c r="G29" s="40">
        <f>+C29-(C$7+F29*C$8)</f>
        <v>-0.10500000000320142</v>
      </c>
      <c r="K29" s="40">
        <f>+G29</f>
        <v>-0.10500000000320142</v>
      </c>
      <c r="O29" s="40">
        <f ca="1">+C$11+C$12*$F29</f>
        <v>-0.10048783134359091</v>
      </c>
      <c r="Q29" s="41">
        <f>+C29-15018.5</f>
        <v>42613.862000000001</v>
      </c>
    </row>
    <row r="30" spans="1:18" s="40" customFormat="1">
      <c r="A30" s="37" t="s">
        <v>50</v>
      </c>
      <c r="B30" s="37" t="s">
        <v>45</v>
      </c>
      <c r="C30" s="39">
        <v>59777.464999999851</v>
      </c>
      <c r="D30" s="38">
        <v>0.02</v>
      </c>
      <c r="E30" s="40">
        <f>+(C30-C$7)/C$8</f>
        <v>13505.859880239343</v>
      </c>
      <c r="F30" s="40">
        <f t="shared" ref="F30" si="6">ROUND(2*E30,0)/2</f>
        <v>13506</v>
      </c>
      <c r="G30" s="40">
        <f>+C30-(C$7+F30*C$8)</f>
        <v>-0.1170000001511653</v>
      </c>
      <c r="K30" s="40">
        <f>+G30</f>
        <v>-0.1170000001511653</v>
      </c>
      <c r="O30" s="40">
        <f ca="1">+C$11+C$12*$F30</f>
        <v>-0.12632491314752026</v>
      </c>
      <c r="Q30" s="41">
        <f>+C30-15018.5</f>
        <v>44758.964999999851</v>
      </c>
    </row>
    <row r="31" spans="1:18" s="40" customFormat="1">
      <c r="C31" s="45"/>
      <c r="D31" s="46"/>
      <c r="Q31" s="41"/>
    </row>
    <row r="32" spans="1:18" s="40" customFormat="1">
      <c r="C32" s="45"/>
      <c r="D32" s="46"/>
      <c r="Q32" s="41"/>
    </row>
    <row r="33" spans="3:17" s="40" customFormat="1">
      <c r="C33" s="45"/>
      <c r="D33" s="46"/>
      <c r="Q33" s="41"/>
    </row>
    <row r="34" spans="3:17" s="40" customFormat="1">
      <c r="C34" s="45"/>
      <c r="D34" s="46"/>
    </row>
    <row r="35" spans="3:17" s="40" customFormat="1">
      <c r="C35" s="46"/>
      <c r="D35" s="46"/>
    </row>
    <row r="36" spans="3:17" s="40" customFormat="1">
      <c r="C36" s="46"/>
      <c r="D36" s="46"/>
    </row>
    <row r="37" spans="3:17" s="40" customFormat="1">
      <c r="C37" s="46"/>
      <c r="D37" s="46"/>
    </row>
    <row r="38" spans="3:17" s="40" customFormat="1">
      <c r="C38" s="46"/>
      <c r="D38" s="46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H64815" r:id="rId1" display="http://vsolj.cetus-net.org/bulletin.html"/>
    <hyperlink ref="H64808" r:id="rId2" display="http://vsolj.cetus-net.org/bulletin.html"/>
    <hyperlink ref="AP2305" r:id="rId3" display="http://cdsbib.u-strasbg.fr/cgi-bin/cdsbib?1990RMxAA..21..381G"/>
    <hyperlink ref="AP2308" r:id="rId4" display="http://cdsbib.u-strasbg.fr/cgi-bin/cdsbib?1990RMxAA..21..381G"/>
    <hyperlink ref="AP2306" r:id="rId5" display="http://cdsbib.u-strasbg.fr/cgi-bin/cdsbib?1990RMxAA..21..381G"/>
    <hyperlink ref="AP2284" r:id="rId6" display="http://cdsbib.u-strasbg.fr/cgi-bin/cdsbib?1990RMxAA..21..381G"/>
    <hyperlink ref="I64815" r:id="rId7" display="http://vsolj.cetus-net.org/bulletin.html"/>
    <hyperlink ref="AQ2418" r:id="rId8" display="http://cdsbib.u-strasbg.fr/cgi-bin/cdsbib?1990RMxAA..21..381G"/>
    <hyperlink ref="AQ687" r:id="rId9" display="http://cdsbib.u-strasbg.fr/cgi-bin/cdsbib?1990RMxAA..21..381G"/>
    <hyperlink ref="AQ2419" r:id="rId10" display="http://cdsbib.u-strasbg.fr/cgi-bin/cdsbib?1990RMxAA..21..381G"/>
    <hyperlink ref="H64812" r:id="rId11" display="https://www.aavso.org/ejaavso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2023-08-13T06:12:10Z</dcterms:modified>
</cp:coreProperties>
</file>