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FC1D184-2364-40C7-97BC-8325ABD4E669}" xr6:coauthVersionLast="47" xr6:coauthVersionMax="47" xr10:uidLastSave="{00000000-0000-0000-0000-000000000000}"/>
  <bookViews>
    <workbookView xWindow="14715" yWindow="180" windowWidth="13995" windowHeight="1452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9" i="1"/>
  <c r="F49" i="1"/>
  <c r="G49" i="1"/>
  <c r="K49" i="1" s="1"/>
  <c r="Q49" i="1"/>
  <c r="E47" i="1"/>
  <c r="F47" i="1"/>
  <c r="G47" i="1"/>
  <c r="K47" i="1"/>
  <c r="Q47" i="1"/>
  <c r="E43" i="1"/>
  <c r="F43" i="1"/>
  <c r="G43" i="1"/>
  <c r="K43" i="1"/>
  <c r="E44" i="1"/>
  <c r="F44" i="1"/>
  <c r="G44" i="1"/>
  <c r="K44" i="1"/>
  <c r="E46" i="1"/>
  <c r="F46" i="1"/>
  <c r="G46" i="1"/>
  <c r="K46" i="1"/>
  <c r="E36" i="1"/>
  <c r="F36" i="1"/>
  <c r="G36" i="1"/>
  <c r="J36" i="1"/>
  <c r="E37" i="1"/>
  <c r="F37" i="1"/>
  <c r="G37" i="1"/>
  <c r="K37" i="1"/>
  <c r="E38" i="1"/>
  <c r="F38" i="1"/>
  <c r="G38" i="1"/>
  <c r="N38" i="1"/>
  <c r="E39" i="1"/>
  <c r="F39" i="1"/>
  <c r="G39" i="1"/>
  <c r="K39" i="1"/>
  <c r="E40" i="1"/>
  <c r="F40" i="1"/>
  <c r="G40" i="1"/>
  <c r="I40" i="1"/>
  <c r="E41" i="1"/>
  <c r="F41" i="1"/>
  <c r="G41" i="1"/>
  <c r="J41" i="1"/>
  <c r="E42" i="1"/>
  <c r="F42" i="1"/>
  <c r="G42" i="1"/>
  <c r="J42" i="1"/>
  <c r="E45" i="1"/>
  <c r="F45" i="1"/>
  <c r="G45" i="1"/>
  <c r="K45" i="1"/>
  <c r="Q43" i="1"/>
  <c r="Q44" i="1"/>
  <c r="Q46" i="1"/>
  <c r="E25" i="1"/>
  <c r="F25" i="1"/>
  <c r="G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E34" i="1"/>
  <c r="F34" i="1"/>
  <c r="G34" i="1"/>
  <c r="J34" i="1"/>
  <c r="E35" i="1"/>
  <c r="F35" i="1"/>
  <c r="G35" i="1"/>
  <c r="J35" i="1"/>
  <c r="Q45" i="1"/>
  <c r="E23" i="1"/>
  <c r="F23" i="1"/>
  <c r="G23" i="1"/>
  <c r="K23" i="1"/>
  <c r="E24" i="1"/>
  <c r="F24" i="1"/>
  <c r="G24" i="1"/>
  <c r="K24" i="1"/>
  <c r="D9" i="1"/>
  <c r="C9" i="1"/>
  <c r="Q37" i="1"/>
  <c r="Q39" i="1"/>
  <c r="Q40" i="1"/>
  <c r="G12" i="2"/>
  <c r="C12" i="2"/>
  <c r="E12" i="2"/>
  <c r="E22" i="1"/>
  <c r="G13" i="2"/>
  <c r="C13" i="2"/>
  <c r="E13" i="2"/>
  <c r="G14" i="2"/>
  <c r="C14" i="2"/>
  <c r="E14" i="2"/>
  <c r="G15" i="2"/>
  <c r="C15" i="2"/>
  <c r="E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21" i="2"/>
  <c r="C21" i="2"/>
  <c r="E21" i="2"/>
  <c r="G22" i="2"/>
  <c r="C22" i="2"/>
  <c r="E22" i="2"/>
  <c r="G23" i="2"/>
  <c r="C23" i="2"/>
  <c r="E23" i="2"/>
  <c r="G24" i="2"/>
  <c r="C24" i="2"/>
  <c r="E24" i="2"/>
  <c r="G25" i="2"/>
  <c r="C25" i="2"/>
  <c r="E25" i="2"/>
  <c r="G26" i="2"/>
  <c r="C26" i="2"/>
  <c r="E26" i="2"/>
  <c r="G30" i="2"/>
  <c r="C30" i="2"/>
  <c r="E30" i="2"/>
  <c r="G27" i="2"/>
  <c r="C27" i="2"/>
  <c r="E27" i="2"/>
  <c r="G31" i="2"/>
  <c r="C31" i="2"/>
  <c r="E31" i="2"/>
  <c r="G32" i="2"/>
  <c r="C32" i="2"/>
  <c r="E32" i="2"/>
  <c r="G28" i="2"/>
  <c r="C28" i="2"/>
  <c r="E28" i="2"/>
  <c r="G29" i="2"/>
  <c r="C29" i="2"/>
  <c r="E29" i="2"/>
  <c r="G11" i="2"/>
  <c r="C11" i="2"/>
  <c r="E11" i="2"/>
  <c r="E21" i="1"/>
  <c r="H29" i="2"/>
  <c r="D29" i="2"/>
  <c r="B29" i="2"/>
  <c r="A29" i="2"/>
  <c r="H28" i="2"/>
  <c r="B28" i="2"/>
  <c r="D28" i="2"/>
  <c r="A28" i="2"/>
  <c r="H32" i="2"/>
  <c r="D32" i="2"/>
  <c r="B32" i="2"/>
  <c r="A32" i="2"/>
  <c r="H31" i="2"/>
  <c r="B31" i="2"/>
  <c r="D31" i="2"/>
  <c r="A31" i="2"/>
  <c r="H27" i="2"/>
  <c r="D27" i="2"/>
  <c r="B27" i="2"/>
  <c r="A27" i="2"/>
  <c r="H30" i="2"/>
  <c r="B30" i="2"/>
  <c r="D30" i="2"/>
  <c r="A30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2" i="1"/>
  <c r="Q41" i="1"/>
  <c r="Q38" i="1"/>
  <c r="F21" i="1"/>
  <c r="G21" i="1"/>
  <c r="K21" i="1"/>
  <c r="F22" i="1"/>
  <c r="G22" i="1"/>
  <c r="K22" i="1"/>
  <c r="F16" i="1"/>
  <c r="F17" i="1" s="1"/>
  <c r="Q36" i="1"/>
  <c r="C17" i="1"/>
  <c r="Q21" i="1"/>
  <c r="Q22" i="1"/>
  <c r="Q23" i="1"/>
  <c r="Q24" i="1"/>
  <c r="K25" i="1"/>
  <c r="Q25" i="1"/>
  <c r="Q26" i="1"/>
  <c r="Q27" i="1"/>
  <c r="Q28" i="1"/>
  <c r="Q29" i="1"/>
  <c r="Q34" i="1"/>
  <c r="Q35" i="1"/>
  <c r="Q30" i="1"/>
  <c r="Q31" i="1"/>
  <c r="Q32" i="1"/>
  <c r="J33" i="1"/>
  <c r="Q33" i="1"/>
  <c r="C11" i="1"/>
  <c r="C12" i="1"/>
  <c r="O49" i="1" l="1"/>
  <c r="O48" i="1"/>
  <c r="C16" i="1"/>
  <c r="D18" i="1" s="1"/>
  <c r="O31" i="1"/>
  <c r="O33" i="1"/>
  <c r="O27" i="1"/>
  <c r="O28" i="1"/>
  <c r="O23" i="1"/>
  <c r="O47" i="1"/>
  <c r="O46" i="1"/>
  <c r="O40" i="1"/>
  <c r="C15" i="1"/>
  <c r="O35" i="1"/>
  <c r="O22" i="1"/>
  <c r="O43" i="1"/>
  <c r="O32" i="1"/>
  <c r="O24" i="1"/>
  <c r="O34" i="1"/>
  <c r="O39" i="1"/>
  <c r="O44" i="1"/>
  <c r="O30" i="1"/>
  <c r="O29" i="1"/>
  <c r="O38" i="1"/>
  <c r="O41" i="1"/>
  <c r="O36" i="1"/>
  <c r="O37" i="1"/>
  <c r="O42" i="1"/>
  <c r="O45" i="1"/>
  <c r="O25" i="1"/>
  <c r="O26" i="1"/>
  <c r="O21" i="1"/>
  <c r="F18" i="1" l="1"/>
  <c r="F19" i="1" s="1"/>
  <c r="C18" i="1"/>
</calcChain>
</file>

<file path=xl/sharedStrings.xml><?xml version="1.0" encoding="utf-8"?>
<sst xmlns="http://schemas.openxmlformats.org/spreadsheetml/2006/main" count="299" uniqueCount="162">
  <si>
    <t>JAVSO..44…69</t>
  </si>
  <si>
    <t>JAVSO..45..121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</si>
  <si>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</si>
  <si>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</si>
  <si>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</si>
  <si>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</si>
  <si>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</si>
  <si>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</si>
  <si>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</si>
  <si>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</si>
  <si>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</si>
  <si>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</si>
  <si>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</si>
  <si>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</si>
  <si>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</si>
  <si>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</si>
  <si>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</si>
  <si>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</si>
  <si>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</si>
  <si>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</si>
  <si>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</si>
  <si>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</si>
  <si>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</si>
  <si>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</si>
  <si>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</si>
  <si>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</si>
  <si>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</si>
  <si>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</si>
  <si>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II</t>
  </si>
  <si>
    <t>IBVS 5643</t>
  </si>
  <si>
    <t>not avail.</t>
  </si>
  <si>
    <t>V1542 Aql / GSC 1057-1309</t>
  </si>
  <si>
    <t>EW</t>
  </si>
  <si>
    <t>IBVS 5161</t>
  </si>
  <si>
    <t>IBVS 5731</t>
  </si>
  <si>
    <t># of data points: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</si>
  <si>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</si>
  <si>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</si>
  <si>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</si>
  <si>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</si>
  <si>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</si>
  <si>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</si>
  <si>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</si>
  <si>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5761</t>
  </si>
  <si>
    <t>Add cycle</t>
  </si>
  <si>
    <t>Old Cycle</t>
  </si>
  <si>
    <t>OEJV 116</t>
  </si>
  <si>
    <t>IBVS 6010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</si>
  <si>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</si>
  <si>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</si>
  <si>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</si>
  <si>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</si>
  <si>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</si>
  <si>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</si>
  <si>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</si>
  <si>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</si>
  <si>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</si>
  <si>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</si>
  <si>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</si>
  <si>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</si>
  <si>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2451065.388 </t>
  </si>
  <si>
    <t> 08.09.1998 21:18 </t>
  </si>
  <si>
    <t> 0.006 </t>
  </si>
  <si>
    <t>E </t>
  </si>
  <si>
    <t>o</t>
  </si>
  <si>
    <t> K.Bernhard </t>
  </si>
  <si>
    <t>BAVM 138 </t>
  </si>
  <si>
    <t>2451080.405 </t>
  </si>
  <si>
    <t> 23.09.1998 21:43 </t>
  </si>
  <si>
    <t> -0.008 </t>
  </si>
  <si>
    <t>2451103.378 </t>
  </si>
  <si>
    <t> 16.10.1998 21:04 </t>
  </si>
  <si>
    <t> 0.000 </t>
  </si>
  <si>
    <t>2451111.3146 </t>
  </si>
  <si>
    <t> 24.10.1998 19:33 </t>
  </si>
  <si>
    <t> 0.0035 </t>
  </si>
  <si>
    <t>2452112.5593 </t>
  </si>
  <si>
    <t> 22.07.2001 01:25 </t>
  </si>
  <si>
    <t> -0.0046 </t>
  </si>
  <si>
    <t> W.Quester </t>
  </si>
  <si>
    <t>2452113.3933 </t>
  </si>
  <si>
    <t> 22.07.2001 21:26 </t>
  </si>
  <si>
    <t> -0.0056 </t>
  </si>
  <si>
    <t>2452113.6000 </t>
  </si>
  <si>
    <t> 23.07.2001 02:24 </t>
  </si>
  <si>
    <t> -0.0077 </t>
  </si>
  <si>
    <t>2452115.4825 </t>
  </si>
  <si>
    <t> 24.07.2001 23:34 </t>
  </si>
  <si>
    <t> -0.0041 </t>
  </si>
  <si>
    <t>2452116.5270 </t>
  </si>
  <si>
    <t> 26.07.2001 00:38 </t>
  </si>
  <si>
    <t> -0.0035 </t>
  </si>
  <si>
    <t>2452137.4040 </t>
  </si>
  <si>
    <t> 15.08.2001 21:41 </t>
  </si>
  <si>
    <t> -0.0033 </t>
  </si>
  <si>
    <t>BAVM 158 </t>
  </si>
  <si>
    <t>2452476.4430 </t>
  </si>
  <si>
    <t> 20.07.2002 22:37 </t>
  </si>
  <si>
    <t> -0.0040 </t>
  </si>
  <si>
    <t>2452816.5262 </t>
  </si>
  <si>
    <t> 26.06.2003 00:37 </t>
  </si>
  <si>
    <t> -0.0044 </t>
  </si>
  <si>
    <t> U.Schmidt </t>
  </si>
  <si>
    <t>BAVM 172 </t>
  </si>
  <si>
    <t>2452834.4814 </t>
  </si>
  <si>
    <t> 13.07.2003 23:33 </t>
  </si>
  <si>
    <t> -0.0032 </t>
  </si>
  <si>
    <t>2453612.3523 </t>
  </si>
  <si>
    <t> 29.08.2005 20:27 </t>
  </si>
  <si>
    <t> -0.0030 </t>
  </si>
  <si>
    <t>C </t>
  </si>
  <si>
    <t>-I</t>
  </si>
  <si>
    <t> F.Walter </t>
  </si>
  <si>
    <t>BAVM 178 </t>
  </si>
  <si>
    <t>2453613.3998 </t>
  </si>
  <si>
    <t> 30.08.2005 21:35 </t>
  </si>
  <si>
    <t>-6078.5</t>
  </si>
  <si>
    <t> 0.0006 </t>
  </si>
  <si>
    <t>2453910.4756 </t>
  </si>
  <si>
    <t> 23.06.2006 23:24 </t>
  </si>
  <si>
    <t>-5367</t>
  </si>
  <si>
    <t> -0.0009 </t>
  </si>
  <si>
    <t> W.Moschner &amp; P.Frank </t>
  </si>
  <si>
    <t>BAVM 183 </t>
  </si>
  <si>
    <t>2454314.4436 </t>
  </si>
  <si>
    <t> 01.08.2007 22:38 </t>
  </si>
  <si>
    <t>-4399.5</t>
  </si>
  <si>
    <t> 0.0005 </t>
  </si>
  <si>
    <t> BAVM193 </t>
  </si>
  <si>
    <t>2454657.449 </t>
  </si>
  <si>
    <t> 09.07.2008 22:46 </t>
  </si>
  <si>
    <t>-3578</t>
  </si>
  <si>
    <t> -0.000 </t>
  </si>
  <si>
    <t> A.Paschke </t>
  </si>
  <si>
    <t>OEJV 0116 </t>
  </si>
  <si>
    <t>2454718.4090 </t>
  </si>
  <si>
    <t> 08.09.2008 21:48 </t>
  </si>
  <si>
    <t>-3432</t>
  </si>
  <si>
    <t> -0.0008 </t>
  </si>
  <si>
    <t>BAVM 203 </t>
  </si>
  <si>
    <t>2455414.0336 </t>
  </si>
  <si>
    <t> 05.08.2010 12:48 </t>
  </si>
  <si>
    <t>-1766</t>
  </si>
  <si>
    <t> 0.0078 </t>
  </si>
  <si>
    <t>Rc</t>
  </si>
  <si>
    <t> K.Nagai </t>
  </si>
  <si>
    <t>VSB 51 </t>
  </si>
  <si>
    <t>2455784.3806 </t>
  </si>
  <si>
    <t> 10.08.2011 21:08 </t>
  </si>
  <si>
    <t>-879</t>
  </si>
  <si>
    <t> -0.0001 </t>
  </si>
  <si>
    <t>BAVM 220 </t>
  </si>
  <si>
    <t>2456151.3954 </t>
  </si>
  <si>
    <t> 11.08.2012 21:29 </t>
  </si>
  <si>
    <t>0</t>
  </si>
  <si>
    <t> 0.0000 </t>
  </si>
  <si>
    <t>BAVM 228 </t>
  </si>
  <si>
    <t>s5</t>
  </si>
  <si>
    <t>s6</t>
  </si>
  <si>
    <t>s7</t>
  </si>
  <si>
    <t>JAVSO..46..184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</si>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</sst>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center" vertical="top"/>
    </xf>
    <xf numFmtId="176" fontId="16" fillId="0" borderId="0" xfId="0" applyNumberFormat="1" applyFont="1" applyFill="1" applyBorder="1" applyAlignment="1" applyProtection="1">
      <alignment horizontal="left"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7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V1542 Aql - O-C Diagr.</a:t>
            </a:r>
          </a:p>
        </c:rich>
      </c:tx>
      <c:layout>
        <c:manualLayout>
          <c:xMode val="edge"/>
          <c:yMode val="edge"/>
          <c:x val="0.361874329521410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8-4EE1-8607-8B230B715A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9">
                  <c:v>1.7021200001181569E-2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8-4EE1-8607-8B230B715A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9">
                  <c:v>1.9659500030684285E-3</c:v>
                </c:pt>
                <c:pt idx="10">
                  <c:v>1.6527499974472448E-3</c:v>
                </c:pt>
                <c:pt idx="11">
                  <c:v>1.6993000026559457E-3</c:v>
                </c:pt>
                <c:pt idx="12">
                  <c:v>2.8469999961089343E-3</c:v>
                </c:pt>
                <c:pt idx="13">
                  <c:v>3.992699996160809E-3</c:v>
                </c:pt>
                <c:pt idx="14">
                  <c:v>7.6524499963852577E-3</c:v>
                </c:pt>
                <c:pt idx="15">
                  <c:v>6.5172999966307543E-3</c:v>
                </c:pt>
                <c:pt idx="20">
                  <c:v>9.5004999966477044E-3</c:v>
                </c:pt>
                <c:pt idx="21">
                  <c:v>1.0068600000522565E-2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8-4EE1-8607-8B230B715A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9.9026999960187823E-3</c:v>
                </c:pt>
                <c:pt idx="1">
                  <c:v>-4.3969000034849159E-3</c:v>
                </c:pt>
                <c:pt idx="2">
                  <c:v>4.1175999940605834E-3</c:v>
                </c:pt>
                <c:pt idx="3">
                  <c:v>7.5316999937058426E-3</c:v>
                </c:pt>
                <c:pt idx="4">
                  <c:v>6.6389999847160652E-4</c:v>
                </c:pt>
                <c:pt idx="5">
                  <c:v>-4.0829999488778412E-4</c:v>
                </c:pt>
                <c:pt idx="6">
                  <c:v>-2.4763500041444786E-3</c:v>
                </c:pt>
                <c:pt idx="7">
                  <c:v>1.1111999992863275E-3</c:v>
                </c:pt>
                <c:pt idx="8">
                  <c:v>1.7709500025375746E-3</c:v>
                </c:pt>
                <c:pt idx="16">
                  <c:v>8.3405499972286634E-3</c:v>
                </c:pt>
                <c:pt idx="18">
                  <c:v>7.5637999980244786E-3</c:v>
                </c:pt>
                <c:pt idx="22">
                  <c:v>1.9050100003369153E-2</c:v>
                </c:pt>
                <c:pt idx="23">
                  <c:v>2.1465400001034141E-2</c:v>
                </c:pt>
                <c:pt idx="24">
                  <c:v>2.2378399997251108E-2</c:v>
                </c:pt>
                <c:pt idx="25">
                  <c:v>2.7966299996478483E-2</c:v>
                </c:pt>
                <c:pt idx="26">
                  <c:v>2.6748899996164255E-2</c:v>
                </c:pt>
                <c:pt idx="27">
                  <c:v>3.1752099806908518E-2</c:v>
                </c:pt>
                <c:pt idx="28">
                  <c:v>3.7752099859062582E-2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8-4EE1-8607-8B230B715A6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8-4EE1-8607-8B230B715A6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8-4EE1-8607-8B230B715A6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3">
                    <c:v>1E-3</c:v>
                  </c:pt>
                  <c:pt idx="4">
                    <c:v>1E-3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6.9999999999999999E-4</c:v>
                  </c:pt>
                  <c:pt idx="8">
                    <c:v>5.0000000000000001E-4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2.8E-3</c:v>
                  </c:pt>
                  <c:pt idx="12">
                    <c:v>2.9999999999999997E-4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5.0000000000000001E-3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4.0000000000000001E-3</c:v>
                  </c:pt>
                  <c:pt idx="21">
                    <c:v>4.0000000000000001E-3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1E-4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  <c:pt idx="17">
                  <c:v>7.8343999994103797E-3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8-4EE1-8607-8B230B715A6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-2507</c:v>
                </c:pt>
                <c:pt idx="1">
                  <c:v>-2471</c:v>
                </c:pt>
                <c:pt idx="2">
                  <c:v>-2416</c:v>
                </c:pt>
                <c:pt idx="3">
                  <c:v>-2397</c:v>
                </c:pt>
                <c:pt idx="4">
                  <c:v>1</c:v>
                </c:pt>
                <c:pt idx="5">
                  <c:v>3</c:v>
                </c:pt>
                <c:pt idx="6">
                  <c:v>3.5</c:v>
                </c:pt>
                <c:pt idx="7">
                  <c:v>8</c:v>
                </c:pt>
                <c:pt idx="8">
                  <c:v>10.5</c:v>
                </c:pt>
                <c:pt idx="9">
                  <c:v>60.5</c:v>
                </c:pt>
                <c:pt idx="10">
                  <c:v>872.5</c:v>
                </c:pt>
                <c:pt idx="11">
                  <c:v>1687</c:v>
                </c:pt>
                <c:pt idx="12">
                  <c:v>1730</c:v>
                </c:pt>
                <c:pt idx="13">
                  <c:v>3593</c:v>
                </c:pt>
                <c:pt idx="14">
                  <c:v>3595.5</c:v>
                </c:pt>
                <c:pt idx="15">
                  <c:v>4307</c:v>
                </c:pt>
                <c:pt idx="16">
                  <c:v>5274.5</c:v>
                </c:pt>
                <c:pt idx="17">
                  <c:v>6096</c:v>
                </c:pt>
                <c:pt idx="18">
                  <c:v>6242</c:v>
                </c:pt>
                <c:pt idx="19">
                  <c:v>7908</c:v>
                </c:pt>
                <c:pt idx="20">
                  <c:v>8795</c:v>
                </c:pt>
                <c:pt idx="21">
                  <c:v>9674</c:v>
                </c:pt>
                <c:pt idx="22">
                  <c:v>12259</c:v>
                </c:pt>
                <c:pt idx="23">
                  <c:v>12386</c:v>
                </c:pt>
                <c:pt idx="24">
                  <c:v>13056</c:v>
                </c:pt>
                <c:pt idx="25">
                  <c:v>13217</c:v>
                </c:pt>
                <c:pt idx="26">
                  <c:v>14151</c:v>
                </c:pt>
                <c:pt idx="27">
                  <c:v>18439</c:v>
                </c:pt>
                <c:pt idx="28">
                  <c:v>18439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-5.3148878353041296E-3</c:v>
                </c:pt>
                <c:pt idx="1">
                  <c:v>-5.2495692043212855E-3</c:v>
                </c:pt>
                <c:pt idx="2">
                  <c:v>-5.1497768514308286E-3</c:v>
                </c:pt>
                <c:pt idx="3">
                  <c:v>-5.1153031295232158E-3</c:v>
                </c:pt>
                <c:pt idx="4">
                  <c:v>-7.6435654349929993E-4</c:v>
                </c:pt>
                <c:pt idx="5">
                  <c:v>-7.6072773066691965E-4</c:v>
                </c:pt>
                <c:pt idx="6">
                  <c:v>-7.5982052745882458E-4</c:v>
                </c:pt>
                <c:pt idx="7">
                  <c:v>-7.5165569858596907E-4</c:v>
                </c:pt>
                <c:pt idx="8">
                  <c:v>-7.4711968254549373E-4</c:v>
                </c:pt>
                <c:pt idx="9">
                  <c:v>-6.5639936173598763E-4</c:v>
                </c:pt>
                <c:pt idx="10">
                  <c:v>8.1689864821039263E-4</c:v>
                </c:pt>
                <c:pt idx="11">
                  <c:v>2.2947326741972482E-3</c:v>
                </c:pt>
                <c:pt idx="12">
                  <c:v>2.3727521500934235E-3</c:v>
                </c:pt>
                <c:pt idx="13">
                  <c:v>5.7529913034556233E-3</c:v>
                </c:pt>
                <c:pt idx="14">
                  <c:v>5.757527319496099E-3</c:v>
                </c:pt>
                <c:pt idx="15">
                  <c:v>7.0484774846153713E-3</c:v>
                </c:pt>
                <c:pt idx="16">
                  <c:v>8.8039156922793162E-3</c:v>
                </c:pt>
                <c:pt idx="17">
                  <c:v>1.0294450563179503E-2</c:v>
                </c:pt>
                <c:pt idx="18">
                  <c:v>1.0559353899943261E-2</c:v>
                </c:pt>
                <c:pt idx="19">
                  <c:v>1.3582154989316007E-2</c:v>
                </c:pt>
                <c:pt idx="20">
                  <c:v>1.5191533480476645E-2</c:v>
                </c:pt>
                <c:pt idx="21">
                  <c:v>1.6786396720307763E-2</c:v>
                </c:pt>
                <c:pt idx="22">
                  <c:v>2.1476637306159233E-2</c:v>
                </c:pt>
                <c:pt idx="23">
                  <c:v>2.1707066921015379E-2</c:v>
                </c:pt>
                <c:pt idx="24">
                  <c:v>2.2922719219862761E-2</c:v>
                </c:pt>
                <c:pt idx="25">
                  <c:v>2.3214838652869371E-2</c:v>
                </c:pt>
                <c:pt idx="26">
                  <c:v>2.4909494245590948E-2</c:v>
                </c:pt>
                <c:pt idx="27">
                  <c:v>3.2689668958214194E-2</c:v>
                </c:pt>
                <c:pt idx="28">
                  <c:v>3.2689668958214194E-2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8-4EE1-8607-8B230B715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57720"/>
        <c:axId val="1"/>
      </c:scatterChart>
      <c:valAx>
        <c:axId val="43105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05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7869224343726"/>
          <c:y val="0.9204921861831491"/>
          <c:w val="0.6558971162530370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295275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96D555-5E88-9A43-25BA-1B76DF0FD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8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138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138" TargetMode="External"/><Relationship Id="rId12" Type="http://schemas.openxmlformats.org/officeDocument/2006/relationships/hyperlink" Target="http://www.bav-astro.de/sfs/BAVM_link.php?BAVMnr=158" TargetMode="External"/><Relationship Id="rId17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bav-astro.de/sfs/BAVM_link.php?BAVMnr=138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38" TargetMode="External"/><Relationship Id="rId11" Type="http://schemas.openxmlformats.org/officeDocument/2006/relationships/hyperlink" Target="http://www.bav-astro.de/sfs/BAVM_link.php?BAVMnr=158" TargetMode="External"/><Relationship Id="rId5" Type="http://schemas.openxmlformats.org/officeDocument/2006/relationships/hyperlink" Target="http://www.bav-astro.de/sfs/BAVM_link.php?BAVMnr=138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38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38" TargetMode="External"/><Relationship Id="rId9" Type="http://schemas.openxmlformats.org/officeDocument/2006/relationships/hyperlink" Target="http://www.bav-astro.de/sfs/BAVM_link.php?BAVMnr=138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26</v>
      </c>
      <c r="B2" t="s">
        <v>32</v>
      </c>
      <c r="C2" t="s">
        <v>33</v>
      </c>
    </row>
    <row r="4" spans="1:6" ht="14.25" thickTop="1" thickBot="1" x14ac:dyDescent="0.25">
      <c r="A4" s="5" t="s">
        <v>3</v>
      </c>
      <c r="C4" s="14" t="s">
        <v>30</v>
      </c>
      <c r="D4" s="15" t="s">
        <v>30</v>
      </c>
    </row>
    <row r="5" spans="1:6" ht="13.5" thickTop="1" x14ac:dyDescent="0.2">
      <c r="A5" s="18" t="s">
        <v>37</v>
      </c>
      <c r="B5" s="17"/>
      <c r="C5" s="19">
        <v>-9.5</v>
      </c>
      <c r="D5" s="17" t="s">
        <v>38</v>
      </c>
    </row>
    <row r="6" spans="1:6" x14ac:dyDescent="0.2">
      <c r="A6" s="5" t="s">
        <v>4</v>
      </c>
    </row>
    <row r="7" spans="1:6" x14ac:dyDescent="0.2">
      <c r="A7" t="s">
        <v>5</v>
      </c>
      <c r="C7">
        <v>52112.141100000001</v>
      </c>
    </row>
    <row r="8" spans="1:6" x14ac:dyDescent="0.2">
      <c r="A8" t="s">
        <v>6</v>
      </c>
      <c r="C8">
        <v>0.41753610000000002</v>
      </c>
    </row>
    <row r="9" spans="1:6" x14ac:dyDescent="0.2">
      <c r="A9" s="32" t="s">
        <v>42</v>
      </c>
      <c r="B9" s="33">
        <v>25</v>
      </c>
      <c r="C9" s="21" t="str">
        <f>"F"&amp;B9</f>
        <v>F25</v>
      </c>
      <c r="D9" s="22" t="str">
        <f>"G"&amp;B9</f>
        <v>G25</v>
      </c>
    </row>
    <row r="10" spans="1:6" ht="13.5" thickBot="1" x14ac:dyDescent="0.25">
      <c r="A10" s="17"/>
      <c r="B10" s="17"/>
      <c r="C10" s="4" t="s">
        <v>22</v>
      </c>
      <c r="D10" s="4" t="s">
        <v>23</v>
      </c>
      <c r="E10" s="17"/>
    </row>
    <row r="11" spans="1:6" x14ac:dyDescent="0.2">
      <c r="A11" s="17" t="s">
        <v>18</v>
      </c>
      <c r="B11" s="17"/>
      <c r="C11" s="20">
        <f ca="1">INTERCEPT(INDIRECT($D$9):G992,INDIRECT($C$9):F992)</f>
        <v>-7.6617094991549006E-4</v>
      </c>
      <c r="D11" s="3"/>
      <c r="E11" s="17"/>
    </row>
    <row r="12" spans="1:6" x14ac:dyDescent="0.2">
      <c r="A12" s="17" t="s">
        <v>19</v>
      </c>
      <c r="B12" s="17"/>
      <c r="C12" s="20">
        <f ca="1">SLOPE(INDIRECT($D$9):G992,INDIRECT($C$9):F992)</f>
        <v>1.8144064161901235E-6</v>
      </c>
      <c r="D12" s="3"/>
      <c r="E12" s="17"/>
    </row>
    <row r="13" spans="1:6" x14ac:dyDescent="0.2">
      <c r="A13" s="17" t="s">
        <v>21</v>
      </c>
      <c r="B13" s="17"/>
      <c r="C13" s="3" t="s">
        <v>16</v>
      </c>
    </row>
    <row r="14" spans="1:6" x14ac:dyDescent="0.2">
      <c r="A14" s="17"/>
      <c r="B14" s="17"/>
      <c r="C14" s="17"/>
    </row>
    <row r="15" spans="1:6" x14ac:dyDescent="0.2">
      <c r="A15" s="23" t="s">
        <v>20</v>
      </c>
      <c r="B15" s="17"/>
      <c r="C15" s="24">
        <f ca="1">(C7+C11)+(C8+C12)*INT(MAX(F21:F3533))</f>
        <v>59811.121937568954</v>
      </c>
      <c r="E15" s="25" t="s">
        <v>44</v>
      </c>
      <c r="F15" s="56">
        <v>1</v>
      </c>
    </row>
    <row r="16" spans="1:6" x14ac:dyDescent="0.2">
      <c r="A16" s="27" t="s">
        <v>7</v>
      </c>
      <c r="B16" s="17"/>
      <c r="C16" s="28">
        <f ca="1">+C8+C12</f>
        <v>0.41753791440641619</v>
      </c>
      <c r="E16" s="25" t="s">
        <v>39</v>
      </c>
      <c r="F16" s="26">
        <f ca="1">NOW()+15018.5+$C$5/24</f>
        <v>60175.755804745371</v>
      </c>
    </row>
    <row r="17" spans="1:17" ht="13.5" thickBot="1" x14ac:dyDescent="0.25">
      <c r="A17" s="25" t="s">
        <v>35</v>
      </c>
      <c r="B17" s="17"/>
      <c r="C17" s="17">
        <f>COUNT(C21:C2191)</f>
        <v>29</v>
      </c>
      <c r="E17" s="25" t="s">
        <v>45</v>
      </c>
      <c r="F17" s="26">
        <f ca="1">ROUND(2*(F16-$C$7)/$C$8,0)/2+F15</f>
        <v>19313.5</v>
      </c>
    </row>
    <row r="18" spans="1:17" ht="14.25" thickTop="1" thickBot="1" x14ac:dyDescent="0.25">
      <c r="A18" s="27" t="s">
        <v>8</v>
      </c>
      <c r="B18" s="17"/>
      <c r="C18" s="30">
        <f ca="1">+C15</f>
        <v>59811.121937568954</v>
      </c>
      <c r="D18" s="31">
        <f ca="1">+C16</f>
        <v>0.41753791440641619</v>
      </c>
      <c r="E18" s="25" t="s">
        <v>40</v>
      </c>
      <c r="F18" s="22">
        <f ca="1">ROUND(2*(F16-$C$15)/$C$16,0)/2+F15</f>
        <v>874.5</v>
      </c>
    </row>
    <row r="19" spans="1:17" ht="13.5" thickTop="1" x14ac:dyDescent="0.2">
      <c r="E19" s="25" t="s">
        <v>41</v>
      </c>
      <c r="F19" s="29">
        <f ca="1">+$C$15+$C$16*F18-15018.5-$C$5/24</f>
        <v>45158.154677050698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157</v>
      </c>
      <c r="M20" s="7" t="s">
        <v>158</v>
      </c>
      <c r="N20" s="7" t="s">
        <v>159</v>
      </c>
      <c r="O20" s="7" t="s">
        <v>25</v>
      </c>
      <c r="P20" s="6" t="s">
        <v>24</v>
      </c>
      <c r="Q20" s="4" t="s">
        <v>17</v>
      </c>
    </row>
    <row r="21" spans="1:17" x14ac:dyDescent="0.2">
      <c r="A21" t="s">
        <v>33</v>
      </c>
      <c r="B21" s="3" t="s">
        <v>28</v>
      </c>
      <c r="C21" s="13">
        <v>51065.387999999999</v>
      </c>
      <c r="D21" s="13"/>
      <c r="E21">
        <f t="shared" ref="E21:E35" si="0">+(C21-C$7)/C$8</f>
        <v>-2506.9762830088266</v>
      </c>
      <c r="F21">
        <f t="shared" ref="F21:F35" si="1">ROUND(2*E21,0)/2</f>
        <v>-2507</v>
      </c>
      <c r="G21">
        <f t="shared" ref="G21:G35" si="2">+C21-(C$7+F21*C$8)</f>
        <v>9.9026999960187823E-3</v>
      </c>
      <c r="K21">
        <f t="shared" ref="K21:K29" si="3">+G21</f>
        <v>9.9026999960187823E-3</v>
      </c>
      <c r="O21">
        <f t="shared" ref="O21:O35" ca="1" si="4">+C$11+C$12*$F21</f>
        <v>-5.3148878353041296E-3</v>
      </c>
      <c r="Q21" s="2">
        <f t="shared" ref="Q21:Q35" si="5">+C21-15018.5</f>
        <v>36046.887999999999</v>
      </c>
    </row>
    <row r="22" spans="1:17" x14ac:dyDescent="0.2">
      <c r="A22" t="s">
        <v>33</v>
      </c>
      <c r="B22" s="3" t="s">
        <v>36</v>
      </c>
      <c r="C22" s="13">
        <v>51080.404999999999</v>
      </c>
      <c r="D22" s="13"/>
      <c r="E22">
        <f t="shared" si="0"/>
        <v>-2471.0105305864613</v>
      </c>
      <c r="F22">
        <f t="shared" si="1"/>
        <v>-2471</v>
      </c>
      <c r="G22">
        <f t="shared" si="2"/>
        <v>-4.3969000034849159E-3</v>
      </c>
      <c r="K22">
        <f t="shared" si="3"/>
        <v>-4.3969000034849159E-3</v>
      </c>
      <c r="O22">
        <f t="shared" ca="1" si="4"/>
        <v>-5.2495692043212855E-3</v>
      </c>
      <c r="Q22" s="2">
        <f t="shared" si="5"/>
        <v>36061.904999999999</v>
      </c>
    </row>
    <row r="23" spans="1:17" x14ac:dyDescent="0.2">
      <c r="A23" t="s">
        <v>33</v>
      </c>
      <c r="B23" s="3" t="s">
        <v>36</v>
      </c>
      <c r="C23" s="13">
        <v>51103.377999999997</v>
      </c>
      <c r="D23" s="13"/>
      <c r="E23">
        <f t="shared" si="0"/>
        <v>-2415.9901383377478</v>
      </c>
      <c r="F23">
        <f t="shared" si="1"/>
        <v>-2416</v>
      </c>
      <c r="G23">
        <f t="shared" si="2"/>
        <v>4.1175999940605834E-3</v>
      </c>
      <c r="K23">
        <f t="shared" si="3"/>
        <v>4.1175999940605834E-3</v>
      </c>
      <c r="O23">
        <f t="shared" ca="1" si="4"/>
        <v>-5.1497768514308286E-3</v>
      </c>
      <c r="Q23" s="2">
        <f t="shared" si="5"/>
        <v>36084.877999999997</v>
      </c>
    </row>
    <row r="24" spans="1:17" x14ac:dyDescent="0.2">
      <c r="A24" t="s">
        <v>33</v>
      </c>
      <c r="B24" s="3" t="s">
        <v>36</v>
      </c>
      <c r="C24" s="13">
        <v>51111.314599999998</v>
      </c>
      <c r="D24" s="13">
        <v>1E-3</v>
      </c>
      <c r="E24">
        <f t="shared" si="0"/>
        <v>-2396.9819615597376</v>
      </c>
      <c r="F24">
        <f t="shared" si="1"/>
        <v>-2397</v>
      </c>
      <c r="G24">
        <f t="shared" si="2"/>
        <v>7.5316999937058426E-3</v>
      </c>
      <c r="K24">
        <f t="shared" si="3"/>
        <v>7.5316999937058426E-3</v>
      </c>
      <c r="O24">
        <f t="shared" ca="1" si="4"/>
        <v>-5.1153031295232158E-3</v>
      </c>
      <c r="Q24" s="2">
        <f t="shared" si="5"/>
        <v>36092.814599999998</v>
      </c>
    </row>
    <row r="25" spans="1:17" x14ac:dyDescent="0.2">
      <c r="A25" t="s">
        <v>33</v>
      </c>
      <c r="B25" s="3" t="s">
        <v>36</v>
      </c>
      <c r="C25" s="13">
        <v>52112.559300000001</v>
      </c>
      <c r="D25" s="13">
        <v>1E-3</v>
      </c>
      <c r="E25">
        <f t="shared" si="0"/>
        <v>1.001590042154606</v>
      </c>
      <c r="F25">
        <f t="shared" si="1"/>
        <v>1</v>
      </c>
      <c r="G25">
        <f t="shared" si="2"/>
        <v>6.6389999847160652E-4</v>
      </c>
      <c r="K25">
        <f t="shared" si="3"/>
        <v>6.6389999847160652E-4</v>
      </c>
      <c r="O25">
        <f t="shared" ca="1" si="4"/>
        <v>-7.6435654349929993E-4</v>
      </c>
      <c r="Q25" s="2">
        <f t="shared" si="5"/>
        <v>37094.059300000001</v>
      </c>
    </row>
    <row r="26" spans="1:17" x14ac:dyDescent="0.2">
      <c r="A26" t="s">
        <v>33</v>
      </c>
      <c r="B26" s="3" t="s">
        <v>36</v>
      </c>
      <c r="C26" s="13">
        <v>52113.393300000003</v>
      </c>
      <c r="D26" s="13">
        <v>6.9999999999999999E-4</v>
      </c>
      <c r="E26">
        <f t="shared" si="0"/>
        <v>2.9990221204888172</v>
      </c>
      <c r="F26">
        <f t="shared" si="1"/>
        <v>3</v>
      </c>
      <c r="G26">
        <f t="shared" si="2"/>
        <v>-4.0829999488778412E-4</v>
      </c>
      <c r="K26">
        <f t="shared" si="3"/>
        <v>-4.0829999488778412E-4</v>
      </c>
      <c r="O26">
        <f t="shared" ca="1" si="4"/>
        <v>-7.6072773066691965E-4</v>
      </c>
      <c r="Q26" s="2">
        <f t="shared" si="5"/>
        <v>37094.893300000003</v>
      </c>
    </row>
    <row r="27" spans="1:17" x14ac:dyDescent="0.2">
      <c r="A27" t="s">
        <v>33</v>
      </c>
      <c r="B27" s="3" t="s">
        <v>28</v>
      </c>
      <c r="C27" s="13">
        <v>52113.599999999999</v>
      </c>
      <c r="D27" s="13">
        <v>1.5E-3</v>
      </c>
      <c r="E27">
        <f t="shared" si="0"/>
        <v>3.4940691355736937</v>
      </c>
      <c r="F27">
        <f t="shared" si="1"/>
        <v>3.5</v>
      </c>
      <c r="G27">
        <f t="shared" si="2"/>
        <v>-2.4763500041444786E-3</v>
      </c>
      <c r="K27">
        <f t="shared" si="3"/>
        <v>-2.4763500041444786E-3</v>
      </c>
      <c r="O27">
        <f t="shared" ca="1" si="4"/>
        <v>-7.5982052745882458E-4</v>
      </c>
      <c r="Q27" s="2">
        <f t="shared" si="5"/>
        <v>37095.1</v>
      </c>
    </row>
    <row r="28" spans="1:17" x14ac:dyDescent="0.2">
      <c r="A28" t="s">
        <v>33</v>
      </c>
      <c r="B28" s="3" t="s">
        <v>36</v>
      </c>
      <c r="C28" s="13">
        <v>52115.482499999998</v>
      </c>
      <c r="D28" s="13">
        <v>6.9999999999999999E-4</v>
      </c>
      <c r="E28">
        <f t="shared" si="0"/>
        <v>8.002661326763171</v>
      </c>
      <c r="F28">
        <f t="shared" si="1"/>
        <v>8</v>
      </c>
      <c r="G28">
        <f t="shared" si="2"/>
        <v>1.1111999992863275E-3</v>
      </c>
      <c r="K28">
        <f t="shared" si="3"/>
        <v>1.1111999992863275E-3</v>
      </c>
      <c r="O28">
        <f t="shared" ca="1" si="4"/>
        <v>-7.5165569858596907E-4</v>
      </c>
      <c r="Q28" s="2">
        <f t="shared" si="5"/>
        <v>37096.982499999998</v>
      </c>
    </row>
    <row r="29" spans="1:17" x14ac:dyDescent="0.2">
      <c r="A29" t="s">
        <v>33</v>
      </c>
      <c r="B29" s="3" t="s">
        <v>28</v>
      </c>
      <c r="C29" s="13">
        <v>52116.527000000002</v>
      </c>
      <c r="D29" s="13">
        <v>5.0000000000000001E-4</v>
      </c>
      <c r="E29">
        <f t="shared" si="0"/>
        <v>10.504241429665912</v>
      </c>
      <c r="F29">
        <f t="shared" si="1"/>
        <v>10.5</v>
      </c>
      <c r="G29">
        <f t="shared" si="2"/>
        <v>1.7709500025375746E-3</v>
      </c>
      <c r="K29">
        <f t="shared" si="3"/>
        <v>1.7709500025375746E-3</v>
      </c>
      <c r="O29">
        <f t="shared" ca="1" si="4"/>
        <v>-7.4711968254549373E-4</v>
      </c>
      <c r="Q29" s="2">
        <f t="shared" si="5"/>
        <v>37098.027000000002</v>
      </c>
    </row>
    <row r="30" spans="1:17" x14ac:dyDescent="0.2">
      <c r="A30" s="16" t="s">
        <v>27</v>
      </c>
      <c r="B30" s="8" t="s">
        <v>28</v>
      </c>
      <c r="C30" s="9">
        <v>52137.404000000002</v>
      </c>
      <c r="D30" s="9">
        <v>6.9999999999999999E-4</v>
      </c>
      <c r="E30">
        <f t="shared" si="0"/>
        <v>60.504708455152823</v>
      </c>
      <c r="F30">
        <f t="shared" si="1"/>
        <v>60.5</v>
      </c>
      <c r="G30">
        <f t="shared" si="2"/>
        <v>1.9659500030684285E-3</v>
      </c>
      <c r="J30">
        <f t="shared" ref="J30:J35" si="6">+G30</f>
        <v>1.9659500030684285E-3</v>
      </c>
      <c r="O30">
        <f t="shared" ca="1" si="4"/>
        <v>-6.5639936173598763E-4</v>
      </c>
      <c r="Q30" s="2">
        <f t="shared" si="5"/>
        <v>37118.904000000002</v>
      </c>
    </row>
    <row r="31" spans="1:17" x14ac:dyDescent="0.2">
      <c r="A31" s="16" t="s">
        <v>27</v>
      </c>
      <c r="B31" s="8" t="s">
        <v>28</v>
      </c>
      <c r="C31" s="9">
        <v>52476.442999999999</v>
      </c>
      <c r="D31" s="9">
        <v>2.9999999999999997E-4</v>
      </c>
      <c r="E31">
        <f t="shared" si="0"/>
        <v>872.50395834036522</v>
      </c>
      <c r="F31">
        <f t="shared" si="1"/>
        <v>872.5</v>
      </c>
      <c r="G31">
        <f t="shared" si="2"/>
        <v>1.6527499974472448E-3</v>
      </c>
      <c r="J31">
        <f t="shared" si="6"/>
        <v>1.6527499974472448E-3</v>
      </c>
      <c r="O31">
        <f t="shared" ca="1" si="4"/>
        <v>8.1689864821039263E-4</v>
      </c>
      <c r="Q31" s="2">
        <f t="shared" si="5"/>
        <v>37457.942999999999</v>
      </c>
    </row>
    <row r="32" spans="1:17" x14ac:dyDescent="0.2">
      <c r="A32" s="10" t="s">
        <v>29</v>
      </c>
      <c r="B32" s="11"/>
      <c r="C32" s="12">
        <v>52816.5262</v>
      </c>
      <c r="D32" s="13">
        <v>2.8E-3</v>
      </c>
      <c r="E32">
        <f t="shared" si="0"/>
        <v>1687.0040698277335</v>
      </c>
      <c r="F32">
        <f t="shared" si="1"/>
        <v>1687</v>
      </c>
      <c r="G32">
        <f t="shared" si="2"/>
        <v>1.6993000026559457E-3</v>
      </c>
      <c r="J32">
        <f t="shared" si="6"/>
        <v>1.6993000026559457E-3</v>
      </c>
      <c r="O32">
        <f t="shared" ca="1" si="4"/>
        <v>2.2947326741972482E-3</v>
      </c>
      <c r="Q32" s="2">
        <f t="shared" si="5"/>
        <v>37798.0262</v>
      </c>
    </row>
    <row r="33" spans="1:17" x14ac:dyDescent="0.2">
      <c r="A33" s="10" t="s">
        <v>29</v>
      </c>
      <c r="B33" s="11"/>
      <c r="C33" s="12">
        <v>52834.481399999997</v>
      </c>
      <c r="D33" s="13">
        <v>2.9999999999999997E-4</v>
      </c>
      <c r="E33">
        <f t="shared" si="0"/>
        <v>1730.0068185720856</v>
      </c>
      <c r="F33">
        <f t="shared" si="1"/>
        <v>1730</v>
      </c>
      <c r="G33">
        <f t="shared" si="2"/>
        <v>2.8469999961089343E-3</v>
      </c>
      <c r="J33">
        <f t="shared" si="6"/>
        <v>2.8469999961089343E-3</v>
      </c>
      <c r="O33">
        <f t="shared" ca="1" si="4"/>
        <v>2.3727521500934235E-3</v>
      </c>
      <c r="Q33" s="2">
        <f t="shared" si="5"/>
        <v>37815.981399999997</v>
      </c>
    </row>
    <row r="34" spans="1:17" x14ac:dyDescent="0.2">
      <c r="A34" s="34" t="s">
        <v>34</v>
      </c>
      <c r="B34" s="35"/>
      <c r="C34" s="36">
        <v>53612.352299999999</v>
      </c>
      <c r="D34" s="36">
        <v>5.0000000000000001E-4</v>
      </c>
      <c r="E34">
        <f t="shared" si="0"/>
        <v>3593.0095625264448</v>
      </c>
      <c r="F34">
        <f t="shared" si="1"/>
        <v>3593</v>
      </c>
      <c r="G34">
        <f t="shared" si="2"/>
        <v>3.992699996160809E-3</v>
      </c>
      <c r="J34">
        <f t="shared" si="6"/>
        <v>3.992699996160809E-3</v>
      </c>
      <c r="O34">
        <f t="shared" ca="1" si="4"/>
        <v>5.7529913034556233E-3</v>
      </c>
      <c r="Q34" s="2">
        <f t="shared" si="5"/>
        <v>38593.852299999999</v>
      </c>
    </row>
    <row r="35" spans="1:17" x14ac:dyDescent="0.2">
      <c r="A35" s="34" t="s">
        <v>34</v>
      </c>
      <c r="B35" s="37" t="s">
        <v>28</v>
      </c>
      <c r="C35" s="36">
        <v>53613.399799999999</v>
      </c>
      <c r="D35" s="36">
        <v>5.0000000000000001E-4</v>
      </c>
      <c r="E35">
        <f t="shared" si="0"/>
        <v>3595.5183276368161</v>
      </c>
      <c r="F35">
        <f t="shared" si="1"/>
        <v>3595.5</v>
      </c>
      <c r="G35">
        <f t="shared" si="2"/>
        <v>7.6524499963852577E-3</v>
      </c>
      <c r="J35">
        <f t="shared" si="6"/>
        <v>7.6524499963852577E-3</v>
      </c>
      <c r="O35">
        <f t="shared" ca="1" si="4"/>
        <v>5.757527319496099E-3</v>
      </c>
      <c r="Q35" s="2">
        <f t="shared" si="5"/>
        <v>38594.899799999999</v>
      </c>
    </row>
    <row r="36" spans="1:17" x14ac:dyDescent="0.2">
      <c r="A36" s="38" t="s">
        <v>43</v>
      </c>
      <c r="B36" s="37" t="s">
        <v>36</v>
      </c>
      <c r="C36" s="36">
        <v>53910.475599999998</v>
      </c>
      <c r="D36" s="36">
        <v>2.9999999999999997E-4</v>
      </c>
      <c r="E36">
        <f t="shared" ref="E36:E46" si="7">+(C36-C$7)/C$8</f>
        <v>4307.0156089497341</v>
      </c>
      <c r="F36">
        <f t="shared" ref="F36:F47" si="8">ROUND(2*E36,0)/2</f>
        <v>4307</v>
      </c>
      <c r="G36">
        <f t="shared" ref="G36:G46" si="9">+C36-(C$7+F36*C$8)</f>
        <v>6.5172999966307543E-3</v>
      </c>
      <c r="J36">
        <f>+G36</f>
        <v>6.5172999966307543E-3</v>
      </c>
      <c r="O36">
        <f t="shared" ref="O36:O46" ca="1" si="10">+C$11+C$12*$F36</f>
        <v>7.0484774846153713E-3</v>
      </c>
      <c r="Q36" s="2">
        <f t="shared" ref="Q36:Q46" si="11">+C36-15018.5</f>
        <v>38891.975599999998</v>
      </c>
    </row>
    <row r="37" spans="1:17" x14ac:dyDescent="0.2">
      <c r="A37" s="22" t="s">
        <v>128</v>
      </c>
      <c r="B37" s="37" t="s">
        <v>28</v>
      </c>
      <c r="C37" s="36">
        <v>54314.443599999999</v>
      </c>
      <c r="D37" s="36" t="s">
        <v>59</v>
      </c>
      <c r="E37">
        <f t="shared" si="7"/>
        <v>5274.5199756380298</v>
      </c>
      <c r="F37">
        <f t="shared" si="8"/>
        <v>5274.5</v>
      </c>
      <c r="G37">
        <f t="shared" si="9"/>
        <v>8.3405499972286634E-3</v>
      </c>
      <c r="K37">
        <f>+G37</f>
        <v>8.3405499972286634E-3</v>
      </c>
      <c r="O37">
        <f t="shared" ca="1" si="10"/>
        <v>8.8039156922793162E-3</v>
      </c>
      <c r="Q37" s="2">
        <f t="shared" si="11"/>
        <v>39295.943599999999</v>
      </c>
    </row>
    <row r="38" spans="1:17" x14ac:dyDescent="0.2">
      <c r="A38" s="34" t="s">
        <v>46</v>
      </c>
      <c r="B38" s="39" t="s">
        <v>36</v>
      </c>
      <c r="C38" s="40">
        <v>54657.449000000001</v>
      </c>
      <c r="D38" s="40">
        <v>5.0000000000000001E-3</v>
      </c>
      <c r="E38">
        <f t="shared" si="7"/>
        <v>6096.0187634075228</v>
      </c>
      <c r="F38">
        <f t="shared" si="8"/>
        <v>6096</v>
      </c>
      <c r="G38">
        <f t="shared" si="9"/>
        <v>7.8343999994103797E-3</v>
      </c>
      <c r="N38">
        <f>+G38</f>
        <v>7.8343999994103797E-3</v>
      </c>
      <c r="O38">
        <f t="shared" ca="1" si="10"/>
        <v>1.0294450563179503E-2</v>
      </c>
      <c r="Q38" s="2">
        <f t="shared" si="11"/>
        <v>39638.949000000001</v>
      </c>
    </row>
    <row r="39" spans="1:17" x14ac:dyDescent="0.2">
      <c r="A39" s="22" t="s">
        <v>139</v>
      </c>
      <c r="B39" s="3" t="s">
        <v>36</v>
      </c>
      <c r="C39" s="13">
        <v>54718.409</v>
      </c>
      <c r="D39" s="13" t="s">
        <v>59</v>
      </c>
      <c r="E39">
        <f t="shared" si="7"/>
        <v>6242.0181153198464</v>
      </c>
      <c r="F39">
        <f t="shared" si="8"/>
        <v>6242</v>
      </c>
      <c r="G39">
        <f t="shared" si="9"/>
        <v>7.5637999980244786E-3</v>
      </c>
      <c r="K39">
        <f>+G39</f>
        <v>7.5637999980244786E-3</v>
      </c>
      <c r="O39">
        <f t="shared" ca="1" si="10"/>
        <v>1.0559353899943261E-2</v>
      </c>
      <c r="Q39" s="2">
        <f t="shared" si="11"/>
        <v>39699.909</v>
      </c>
    </row>
    <row r="40" spans="1:17" x14ac:dyDescent="0.2">
      <c r="A40" s="22" t="s">
        <v>146</v>
      </c>
      <c r="B40" s="3" t="s">
        <v>36</v>
      </c>
      <c r="C40" s="13">
        <v>55414.033600000002</v>
      </c>
      <c r="D40" s="13" t="s">
        <v>59</v>
      </c>
      <c r="E40">
        <f t="shared" si="7"/>
        <v>7908.0407658164204</v>
      </c>
      <c r="F40">
        <f t="shared" si="8"/>
        <v>7908</v>
      </c>
      <c r="G40">
        <f t="shared" si="9"/>
        <v>1.7021200001181569E-2</v>
      </c>
      <c r="I40">
        <f>+G40</f>
        <v>1.7021200001181569E-2</v>
      </c>
      <c r="O40">
        <f t="shared" ca="1" si="10"/>
        <v>1.3582154989316007E-2</v>
      </c>
      <c r="Q40" s="2">
        <f t="shared" si="11"/>
        <v>40395.533600000002</v>
      </c>
    </row>
    <row r="41" spans="1:17" x14ac:dyDescent="0.2">
      <c r="A41" s="41" t="s">
        <v>47</v>
      </c>
      <c r="B41" s="42" t="s">
        <v>36</v>
      </c>
      <c r="C41" s="41">
        <v>55784.380599999997</v>
      </c>
      <c r="D41" s="41">
        <v>4.0000000000000001E-3</v>
      </c>
      <c r="E41">
        <f t="shared" si="7"/>
        <v>8795.0227537211649</v>
      </c>
      <c r="F41">
        <f t="shared" si="8"/>
        <v>8795</v>
      </c>
      <c r="G41">
        <f t="shared" si="9"/>
        <v>9.5004999966477044E-3</v>
      </c>
      <c r="J41">
        <f>+G41</f>
        <v>9.5004999966477044E-3</v>
      </c>
      <c r="O41">
        <f t="shared" ca="1" si="10"/>
        <v>1.5191533480476645E-2</v>
      </c>
      <c r="Q41" s="2">
        <f t="shared" si="11"/>
        <v>40765.880599999997</v>
      </c>
    </row>
    <row r="42" spans="1:17" x14ac:dyDescent="0.2">
      <c r="A42" s="34" t="s">
        <v>48</v>
      </c>
      <c r="B42" s="37" t="s">
        <v>36</v>
      </c>
      <c r="C42" s="36">
        <v>56151.395400000001</v>
      </c>
      <c r="D42" s="36">
        <v>4.0000000000000001E-3</v>
      </c>
      <c r="E42">
        <f t="shared" si="7"/>
        <v>9674.0241143220919</v>
      </c>
      <c r="F42">
        <f t="shared" si="8"/>
        <v>9674</v>
      </c>
      <c r="G42">
        <f t="shared" si="9"/>
        <v>1.0068600000522565E-2</v>
      </c>
      <c r="J42">
        <f>+G42</f>
        <v>1.0068600000522565E-2</v>
      </c>
      <c r="O42">
        <f t="shared" ca="1" si="10"/>
        <v>1.6786396720307763E-2</v>
      </c>
      <c r="Q42" s="2">
        <f t="shared" si="11"/>
        <v>41132.895400000001</v>
      </c>
    </row>
    <row r="43" spans="1:17" x14ac:dyDescent="0.2">
      <c r="A43" s="60" t="s">
        <v>0</v>
      </c>
      <c r="B43" s="61" t="s">
        <v>36</v>
      </c>
      <c r="C43" s="62">
        <v>57230.735200000003</v>
      </c>
      <c r="D43" s="62">
        <v>1E-4</v>
      </c>
      <c r="E43">
        <f t="shared" si="7"/>
        <v>12259.045625036977</v>
      </c>
      <c r="F43">
        <f t="shared" si="8"/>
        <v>12259</v>
      </c>
      <c r="G43">
        <f t="shared" si="9"/>
        <v>1.9050100003369153E-2</v>
      </c>
      <c r="K43">
        <f>+G43</f>
        <v>1.9050100003369153E-2</v>
      </c>
      <c r="O43">
        <f t="shared" ca="1" si="10"/>
        <v>2.1476637306159233E-2</v>
      </c>
      <c r="Q43" s="2">
        <f t="shared" si="11"/>
        <v>42212.235200000003</v>
      </c>
    </row>
    <row r="44" spans="1:17" x14ac:dyDescent="0.2">
      <c r="A44" s="60" t="s">
        <v>0</v>
      </c>
      <c r="B44" s="61" t="s">
        <v>36</v>
      </c>
      <c r="C44" s="62">
        <v>57283.7647</v>
      </c>
      <c r="D44" s="62">
        <v>2.0000000000000001E-4</v>
      </c>
      <c r="E44">
        <f t="shared" si="7"/>
        <v>12386.051409686488</v>
      </c>
      <c r="F44">
        <f t="shared" si="8"/>
        <v>12386</v>
      </c>
      <c r="G44">
        <f t="shared" si="9"/>
        <v>2.1465400001034141E-2</v>
      </c>
      <c r="K44">
        <f>+G44</f>
        <v>2.1465400001034141E-2</v>
      </c>
      <c r="O44">
        <f t="shared" ca="1" si="10"/>
        <v>2.1707066921015379E-2</v>
      </c>
      <c r="Q44" s="2">
        <f t="shared" si="11"/>
        <v>42265.2647</v>
      </c>
    </row>
    <row r="45" spans="1:17" x14ac:dyDescent="0.2">
      <c r="A45" s="57" t="s">
        <v>2</v>
      </c>
      <c r="B45" s="58" t="s">
        <v>36</v>
      </c>
      <c r="C45" s="59">
        <v>57563.514799999997</v>
      </c>
      <c r="D45" s="59">
        <v>4.0000000000000002E-4</v>
      </c>
      <c r="E45">
        <f t="shared" si="7"/>
        <v>13056.053596323758</v>
      </c>
      <c r="F45">
        <f t="shared" si="8"/>
        <v>13056</v>
      </c>
      <c r="G45">
        <f t="shared" si="9"/>
        <v>2.2378399997251108E-2</v>
      </c>
      <c r="K45">
        <f>+G45</f>
        <v>2.2378399997251108E-2</v>
      </c>
      <c r="O45">
        <f t="shared" ca="1" si="10"/>
        <v>2.2922719219862761E-2</v>
      </c>
      <c r="Q45" s="2">
        <f t="shared" si="11"/>
        <v>42545.014799999997</v>
      </c>
    </row>
    <row r="46" spans="1:17" x14ac:dyDescent="0.2">
      <c r="A46" s="60" t="s">
        <v>1</v>
      </c>
      <c r="B46" s="61" t="s">
        <v>36</v>
      </c>
      <c r="C46" s="62">
        <v>57630.743699999999</v>
      </c>
      <c r="D46" s="62">
        <v>1E-4</v>
      </c>
      <c r="E46">
        <f t="shared" si="7"/>
        <v>13217.066979358187</v>
      </c>
      <c r="F46">
        <f t="shared" si="8"/>
        <v>13217</v>
      </c>
      <c r="G46">
        <f t="shared" si="9"/>
        <v>2.7966299996478483E-2</v>
      </c>
      <c r="K46">
        <f>+G46</f>
        <v>2.7966299996478483E-2</v>
      </c>
      <c r="O46">
        <f t="shared" ca="1" si="10"/>
        <v>2.3214838652869371E-2</v>
      </c>
      <c r="Q46" s="2">
        <f t="shared" si="11"/>
        <v>42612.243699999999</v>
      </c>
    </row>
    <row r="47" spans="1:17" x14ac:dyDescent="0.2">
      <c r="A47" s="63" t="s">
        <v>160</v>
      </c>
      <c r="B47" s="64" t="s">
        <v>36</v>
      </c>
      <c r="C47" s="65">
        <v>58020.7212</v>
      </c>
      <c r="D47" s="65">
        <v>2.0000000000000001E-4</v>
      </c>
      <c r="E47">
        <f>+(C47-C$7)/C$8</f>
        <v>14151.064063682155</v>
      </c>
      <c r="F47">
        <f t="shared" si="8"/>
        <v>14151</v>
      </c>
      <c r="G47">
        <f>+C47-(C$7+F47*C$8)</f>
        <v>2.6748899996164255E-2</v>
      </c>
      <c r="K47">
        <f>+G47</f>
        <v>2.6748899996164255E-2</v>
      </c>
      <c r="O47">
        <f ca="1">+C$11+C$12*$F47</f>
        <v>2.4909494245590948E-2</v>
      </c>
      <c r="Q47" s="2">
        <f>+C47-15018.5</f>
        <v>43002.2212</v>
      </c>
    </row>
    <row r="48" spans="1:17" x14ac:dyDescent="0.2">
      <c r="A48" s="66" t="s">
        <v>161</v>
      </c>
      <c r="B48" s="67" t="s">
        <v>36</v>
      </c>
      <c r="C48" s="68">
        <v>59811.12099999981</v>
      </c>
      <c r="D48" s="69"/>
      <c r="E48">
        <f t="shared" ref="E48:E49" si="12">+(C48-C$7)/C$8</f>
        <v>18439.076046358168</v>
      </c>
      <c r="F48">
        <f t="shared" ref="F48:F49" si="13">ROUND(2*E48,0)/2</f>
        <v>18439</v>
      </c>
      <c r="G48">
        <f t="shared" ref="G48:G49" si="14">+C48-(C$7+F48*C$8)</f>
        <v>3.1752099806908518E-2</v>
      </c>
      <c r="K48">
        <f t="shared" ref="K48:K49" si="15">+G48</f>
        <v>3.1752099806908518E-2</v>
      </c>
      <c r="O48">
        <f t="shared" ref="O48:O49" ca="1" si="16">+C$11+C$12*$F48</f>
        <v>3.2689668958214194E-2</v>
      </c>
      <c r="Q48" s="2">
        <f t="shared" ref="Q48:Q49" si="17">+C48-15018.5</f>
        <v>44792.62099999981</v>
      </c>
    </row>
    <row r="49" spans="1:17" x14ac:dyDescent="0.2">
      <c r="A49" s="66" t="s">
        <v>161</v>
      </c>
      <c r="B49" s="67" t="s">
        <v>36</v>
      </c>
      <c r="C49" s="68">
        <v>59811.126999999862</v>
      </c>
      <c r="D49" s="69"/>
      <c r="E49">
        <f t="shared" si="12"/>
        <v>18439.090416373245</v>
      </c>
      <c r="F49">
        <f t="shared" si="13"/>
        <v>18439</v>
      </c>
      <c r="G49">
        <f t="shared" si="14"/>
        <v>3.7752099859062582E-2</v>
      </c>
      <c r="K49">
        <f t="shared" si="15"/>
        <v>3.7752099859062582E-2</v>
      </c>
      <c r="O49">
        <f t="shared" ca="1" si="16"/>
        <v>3.2689668958214194E-2</v>
      </c>
      <c r="Q49" s="2">
        <f t="shared" si="17"/>
        <v>44792.626999999862</v>
      </c>
    </row>
    <row r="50" spans="1:17" x14ac:dyDescent="0.2">
      <c r="D50" s="3"/>
    </row>
    <row r="51" spans="1:17" x14ac:dyDescent="0.2">
      <c r="D51" s="3"/>
    </row>
  </sheetData>
  <protectedRanges>
    <protectedRange sqref="A47:D47" name="Range1"/>
  </protectedRanges>
  <phoneticPr fontId="8" type="noConversion"/>
  <hyperlinks>
    <hyperlink ref="H3378" r:id="rId1" display="http://vsolj.cetus-net.org/bulletin.html"/>
    <hyperlink ref="H64829" r:id="rId2" display="http://vsolj.cetus-net.org/bulletin.html"/>
    <hyperlink ref="H64822" r:id="rId3" display="http://vsolj.cetus-net.org/bulletin.html"/>
    <hyperlink ref="AP2319" r:id="rId4" display="http://cdsbib.u-strasbg.fr/cgi-bin/cdsbib?1990RMxAA..21..381G"/>
    <hyperlink ref="AP2322" r:id="rId5" display="http://cdsbib.u-strasbg.fr/cgi-bin/cdsbib?1990RMxAA..21..381G"/>
    <hyperlink ref="AP2320" r:id="rId6" display="http://cdsbib.u-strasbg.fr/cgi-bin/cdsbib?1990RMxAA..21..381G"/>
    <hyperlink ref="AP2298" r:id="rId7" display="http://cdsbib.u-strasbg.fr/cgi-bin/cdsbib?1990RMxAA..21..381G"/>
    <hyperlink ref="I64829" r:id="rId8" display="http://vsolj.cetus-net.org/bulletin.html"/>
    <hyperlink ref="AQ2432" r:id="rId9" display="http://cdsbib.u-strasbg.fr/cgi-bin/cdsbib?1990RMxAA..21..381G"/>
    <hyperlink ref="AQ701" r:id="rId10" display="http://cdsbib.u-strasbg.fr/cgi-bin/cdsbib?1990RMxAA..21..381G"/>
    <hyperlink ref="AQ2433" r:id="rId11" display="http://cdsbib.u-strasbg.fr/cgi-bin/cdsbib?1990RMxAA..21..381G"/>
    <hyperlink ref="H64826" r:id="rId12" display="https://www.aavso.org/ejaavso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workbookViewId="0">
      <selection activeCell="A30" sqref="A30:D32"/>
    </sheetView>
  </sheetViews>
  <sheetFormatPr defaultRowHeight="12.75" x14ac:dyDescent="0.2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3" t="s">
        <v>49</v>
      </c>
      <c r="I1" s="44" t="s">
        <v>50</v>
      </c>
      <c r="J1" s="45" t="s">
        <v>51</v>
      </c>
    </row>
    <row r="2" spans="1:16" x14ac:dyDescent="0.2">
      <c r="I2" s="46" t="s">
        <v>52</v>
      </c>
      <c r="J2" s="47" t="s">
        <v>53</v>
      </c>
    </row>
    <row r="3" spans="1:16" x14ac:dyDescent="0.2">
      <c r="A3" s="48" t="s">
        <v>54</v>
      </c>
      <c r="I3" s="46" t="s">
        <v>55</v>
      </c>
      <c r="J3" s="47" t="s">
        <v>56</v>
      </c>
    </row>
    <row r="4" spans="1:16" x14ac:dyDescent="0.2">
      <c r="I4" s="46" t="s">
        <v>57</v>
      </c>
      <c r="J4" s="47" t="s">
        <v>56</v>
      </c>
    </row>
    <row r="5" spans="1:16" ht="13.5" thickBot="1" x14ac:dyDescent="0.25">
      <c r="I5" s="49" t="s">
        <v>58</v>
      </c>
      <c r="J5" s="50" t="s">
        <v>59</v>
      </c>
    </row>
    <row r="10" spans="1:16" ht="13.5" thickBot="1" x14ac:dyDescent="0.25"/>
    <row r="11" spans="1:16" ht="12.75" customHeight="1" thickBot="1" x14ac:dyDescent="0.25">
      <c r="A11" s="13" t="str">
        <f t="shared" ref="A11:A32" si="0">P11</f>
        <v>BAVM 138 </v>
      </c>
      <c r="B11" s="3" t="str">
        <f t="shared" ref="B11:B32" si="1">IF(H11=INT(H11),"I","II")</f>
        <v>I</v>
      </c>
      <c r="C11" s="13">
        <f t="shared" ref="C11:C32" si="2">1*G11</f>
        <v>51065.387999999999</v>
      </c>
      <c r="D11" s="17" t="str">
        <f t="shared" ref="D11:D32" si="3">VLOOKUP(F11,I$1:J$5,2,FALSE)</f>
        <v>vis</v>
      </c>
      <c r="E11" s="51">
        <f>VLOOKUP(C11,Active!C$21:E$973,3,FALSE)</f>
        <v>-2506.9762830088266</v>
      </c>
      <c r="F11" s="3" t="s">
        <v>58</v>
      </c>
      <c r="G11" s="17" t="str">
        <f t="shared" ref="G11:G32" si="4">MID(I11,3,LEN(I11)-3)</f>
        <v>51065.388</v>
      </c>
      <c r="H11" s="13">
        <f t="shared" ref="H11:H32" si="5">1*K11</f>
        <v>-12181</v>
      </c>
      <c r="I11" s="52" t="s">
        <v>60</v>
      </c>
      <c r="J11" s="53" t="s">
        <v>61</v>
      </c>
      <c r="K11" s="52">
        <v>-12181</v>
      </c>
      <c r="L11" s="52" t="s">
        <v>62</v>
      </c>
      <c r="M11" s="53" t="s">
        <v>63</v>
      </c>
      <c r="N11" s="53" t="s">
        <v>64</v>
      </c>
      <c r="O11" s="54" t="s">
        <v>65</v>
      </c>
      <c r="P11" s="55" t="s">
        <v>66</v>
      </c>
    </row>
    <row r="12" spans="1:16" ht="12.75" customHeight="1" thickBot="1" x14ac:dyDescent="0.25">
      <c r="A12" s="13" t="str">
        <f t="shared" si="0"/>
        <v>BAVM 138 </v>
      </c>
      <c r="B12" s="3" t="str">
        <f t="shared" si="1"/>
        <v>I</v>
      </c>
      <c r="C12" s="13">
        <f t="shared" si="2"/>
        <v>51080.404999999999</v>
      </c>
      <c r="D12" s="17" t="str">
        <f t="shared" si="3"/>
        <v>vis</v>
      </c>
      <c r="E12" s="51">
        <f>VLOOKUP(C12,Active!C$21:E$973,3,FALSE)</f>
        <v>-2471.0105305864613</v>
      </c>
      <c r="F12" s="3" t="s">
        <v>58</v>
      </c>
      <c r="G12" s="17" t="str">
        <f t="shared" si="4"/>
        <v>51080.405</v>
      </c>
      <c r="H12" s="13">
        <f t="shared" si="5"/>
        <v>-12145</v>
      </c>
      <c r="I12" s="52" t="s">
        <v>67</v>
      </c>
      <c r="J12" s="53" t="s">
        <v>68</v>
      </c>
      <c r="K12" s="52">
        <v>-12145</v>
      </c>
      <c r="L12" s="52" t="s">
        <v>69</v>
      </c>
      <c r="M12" s="53" t="s">
        <v>63</v>
      </c>
      <c r="N12" s="53" t="s">
        <v>64</v>
      </c>
      <c r="O12" s="54" t="s">
        <v>65</v>
      </c>
      <c r="P12" s="55" t="s">
        <v>66</v>
      </c>
    </row>
    <row r="13" spans="1:16" ht="12.75" customHeight="1" thickBot="1" x14ac:dyDescent="0.25">
      <c r="A13" s="13" t="str">
        <f t="shared" si="0"/>
        <v>BAVM 138 </v>
      </c>
      <c r="B13" s="3" t="str">
        <f t="shared" si="1"/>
        <v>I</v>
      </c>
      <c r="C13" s="13">
        <f t="shared" si="2"/>
        <v>51103.377999999997</v>
      </c>
      <c r="D13" s="17" t="str">
        <f t="shared" si="3"/>
        <v>vis</v>
      </c>
      <c r="E13" s="51">
        <f>VLOOKUP(C13,Active!C$21:E$973,3,FALSE)</f>
        <v>-2415.9901383377478</v>
      </c>
      <c r="F13" s="3" t="s">
        <v>58</v>
      </c>
      <c r="G13" s="17" t="str">
        <f t="shared" si="4"/>
        <v>51103.378</v>
      </c>
      <c r="H13" s="13">
        <f t="shared" si="5"/>
        <v>-12090</v>
      </c>
      <c r="I13" s="52" t="s">
        <v>70</v>
      </c>
      <c r="J13" s="53" t="s">
        <v>71</v>
      </c>
      <c r="K13" s="52">
        <v>-12090</v>
      </c>
      <c r="L13" s="52" t="s">
        <v>72</v>
      </c>
      <c r="M13" s="53" t="s">
        <v>63</v>
      </c>
      <c r="N13" s="53" t="s">
        <v>64</v>
      </c>
      <c r="O13" s="54" t="s">
        <v>65</v>
      </c>
      <c r="P13" s="55" t="s">
        <v>66</v>
      </c>
    </row>
    <row r="14" spans="1:16" ht="12.75" customHeight="1" thickBot="1" x14ac:dyDescent="0.25">
      <c r="A14" s="13" t="str">
        <f t="shared" si="0"/>
        <v>BAVM 138 </v>
      </c>
      <c r="B14" s="3" t="str">
        <f t="shared" si="1"/>
        <v>I</v>
      </c>
      <c r="C14" s="13">
        <f t="shared" si="2"/>
        <v>51111.314599999998</v>
      </c>
      <c r="D14" s="17" t="str">
        <f t="shared" si="3"/>
        <v>vis</v>
      </c>
      <c r="E14" s="51">
        <f>VLOOKUP(C14,Active!C$21:E$973,3,FALSE)</f>
        <v>-2396.9819615597376</v>
      </c>
      <c r="F14" s="3" t="s">
        <v>58</v>
      </c>
      <c r="G14" s="17" t="str">
        <f t="shared" si="4"/>
        <v>51111.3146</v>
      </c>
      <c r="H14" s="13">
        <f t="shared" si="5"/>
        <v>-12071</v>
      </c>
      <c r="I14" s="52" t="s">
        <v>73</v>
      </c>
      <c r="J14" s="53" t="s">
        <v>74</v>
      </c>
      <c r="K14" s="52">
        <v>-12071</v>
      </c>
      <c r="L14" s="52" t="s">
        <v>75</v>
      </c>
      <c r="M14" s="53" t="s">
        <v>63</v>
      </c>
      <c r="N14" s="53" t="s">
        <v>64</v>
      </c>
      <c r="O14" s="54" t="s">
        <v>65</v>
      </c>
      <c r="P14" s="55" t="s">
        <v>66</v>
      </c>
    </row>
    <row r="15" spans="1:16" ht="12.75" customHeight="1" thickBot="1" x14ac:dyDescent="0.25">
      <c r="A15" s="13" t="str">
        <f t="shared" si="0"/>
        <v>BAVM 138 </v>
      </c>
      <c r="B15" s="3" t="str">
        <f t="shared" si="1"/>
        <v>I</v>
      </c>
      <c r="C15" s="13">
        <f t="shared" si="2"/>
        <v>52112.559300000001</v>
      </c>
      <c r="D15" s="17" t="str">
        <f t="shared" si="3"/>
        <v>vis</v>
      </c>
      <c r="E15" s="51">
        <f>VLOOKUP(C15,Active!C$21:E$973,3,FALSE)</f>
        <v>1.001590042154606</v>
      </c>
      <c r="F15" s="3" t="s">
        <v>58</v>
      </c>
      <c r="G15" s="17" t="str">
        <f t="shared" si="4"/>
        <v>52112.5593</v>
      </c>
      <c r="H15" s="13">
        <f t="shared" si="5"/>
        <v>-9673</v>
      </c>
      <c r="I15" s="52" t="s">
        <v>76</v>
      </c>
      <c r="J15" s="53" t="s">
        <v>77</v>
      </c>
      <c r="K15" s="52">
        <v>-9673</v>
      </c>
      <c r="L15" s="52" t="s">
        <v>78</v>
      </c>
      <c r="M15" s="53" t="s">
        <v>63</v>
      </c>
      <c r="N15" s="53" t="s">
        <v>58</v>
      </c>
      <c r="O15" s="54" t="s">
        <v>79</v>
      </c>
      <c r="P15" s="55" t="s">
        <v>66</v>
      </c>
    </row>
    <row r="16" spans="1:16" ht="12.75" customHeight="1" thickBot="1" x14ac:dyDescent="0.25">
      <c r="A16" s="13" t="str">
        <f t="shared" si="0"/>
        <v>BAVM 138 </v>
      </c>
      <c r="B16" s="3" t="str">
        <f t="shared" si="1"/>
        <v>I</v>
      </c>
      <c r="C16" s="13">
        <f t="shared" si="2"/>
        <v>52113.393300000003</v>
      </c>
      <c r="D16" s="17" t="str">
        <f t="shared" si="3"/>
        <v>vis</v>
      </c>
      <c r="E16" s="51">
        <f>VLOOKUP(C16,Active!C$21:E$973,3,FALSE)</f>
        <v>2.9990221204888172</v>
      </c>
      <c r="F16" s="3" t="s">
        <v>58</v>
      </c>
      <c r="G16" s="17" t="str">
        <f t="shared" si="4"/>
        <v>52113.3933</v>
      </c>
      <c r="H16" s="13">
        <f t="shared" si="5"/>
        <v>-9671</v>
      </c>
      <c r="I16" s="52" t="s">
        <v>80</v>
      </c>
      <c r="J16" s="53" t="s">
        <v>81</v>
      </c>
      <c r="K16" s="52">
        <v>-9671</v>
      </c>
      <c r="L16" s="52" t="s">
        <v>82</v>
      </c>
      <c r="M16" s="53" t="s">
        <v>63</v>
      </c>
      <c r="N16" s="53" t="s">
        <v>58</v>
      </c>
      <c r="O16" s="54" t="s">
        <v>79</v>
      </c>
      <c r="P16" s="55" t="s">
        <v>66</v>
      </c>
    </row>
    <row r="17" spans="1:16" ht="12.75" customHeight="1" thickBot="1" x14ac:dyDescent="0.25">
      <c r="A17" s="13" t="str">
        <f t="shared" si="0"/>
        <v>BAVM 138 </v>
      </c>
      <c r="B17" s="3" t="str">
        <f t="shared" si="1"/>
        <v>II</v>
      </c>
      <c r="C17" s="13">
        <f t="shared" si="2"/>
        <v>52113.599999999999</v>
      </c>
      <c r="D17" s="17" t="str">
        <f t="shared" si="3"/>
        <v>vis</v>
      </c>
      <c r="E17" s="51">
        <f>VLOOKUP(C17,Active!C$21:E$973,3,FALSE)</f>
        <v>3.4940691355736937</v>
      </c>
      <c r="F17" s="3" t="s">
        <v>58</v>
      </c>
      <c r="G17" s="17" t="str">
        <f t="shared" si="4"/>
        <v>52113.6000</v>
      </c>
      <c r="H17" s="13">
        <f t="shared" si="5"/>
        <v>-9670.5</v>
      </c>
      <c r="I17" s="52" t="s">
        <v>83</v>
      </c>
      <c r="J17" s="53" t="s">
        <v>84</v>
      </c>
      <c r="K17" s="52">
        <v>-9670.5</v>
      </c>
      <c r="L17" s="52" t="s">
        <v>85</v>
      </c>
      <c r="M17" s="53" t="s">
        <v>63</v>
      </c>
      <c r="N17" s="53" t="s">
        <v>58</v>
      </c>
      <c r="O17" s="54" t="s">
        <v>79</v>
      </c>
      <c r="P17" s="55" t="s">
        <v>66</v>
      </c>
    </row>
    <row r="18" spans="1:16" ht="12.75" customHeight="1" thickBot="1" x14ac:dyDescent="0.25">
      <c r="A18" s="13" t="str">
        <f t="shared" si="0"/>
        <v>BAVM 138 </v>
      </c>
      <c r="B18" s="3" t="str">
        <f t="shared" si="1"/>
        <v>I</v>
      </c>
      <c r="C18" s="13">
        <f t="shared" si="2"/>
        <v>52115.482499999998</v>
      </c>
      <c r="D18" s="17" t="str">
        <f t="shared" si="3"/>
        <v>vis</v>
      </c>
      <c r="E18" s="51">
        <f>VLOOKUP(C18,Active!C$21:E$973,3,FALSE)</f>
        <v>8.002661326763171</v>
      </c>
      <c r="F18" s="3" t="s">
        <v>58</v>
      </c>
      <c r="G18" s="17" t="str">
        <f t="shared" si="4"/>
        <v>52115.4825</v>
      </c>
      <c r="H18" s="13">
        <f t="shared" si="5"/>
        <v>-9666</v>
      </c>
      <c r="I18" s="52" t="s">
        <v>86</v>
      </c>
      <c r="J18" s="53" t="s">
        <v>87</v>
      </c>
      <c r="K18" s="52">
        <v>-9666</v>
      </c>
      <c r="L18" s="52" t="s">
        <v>88</v>
      </c>
      <c r="M18" s="53" t="s">
        <v>63</v>
      </c>
      <c r="N18" s="53" t="s">
        <v>58</v>
      </c>
      <c r="O18" s="54" t="s">
        <v>79</v>
      </c>
      <c r="P18" s="55" t="s">
        <v>66</v>
      </c>
    </row>
    <row r="19" spans="1:16" ht="12.75" customHeight="1" thickBot="1" x14ac:dyDescent="0.25">
      <c r="A19" s="13" t="str">
        <f t="shared" si="0"/>
        <v>BAVM 138 </v>
      </c>
      <c r="B19" s="3" t="str">
        <f t="shared" si="1"/>
        <v>II</v>
      </c>
      <c r="C19" s="13">
        <f t="shared" si="2"/>
        <v>52116.527000000002</v>
      </c>
      <c r="D19" s="17" t="str">
        <f t="shared" si="3"/>
        <v>vis</v>
      </c>
      <c r="E19" s="51">
        <f>VLOOKUP(C19,Active!C$21:E$973,3,FALSE)</f>
        <v>10.504241429665912</v>
      </c>
      <c r="F19" s="3" t="s">
        <v>58</v>
      </c>
      <c r="G19" s="17" t="str">
        <f t="shared" si="4"/>
        <v>52116.5270</v>
      </c>
      <c r="H19" s="13">
        <f t="shared" si="5"/>
        <v>-9663.5</v>
      </c>
      <c r="I19" s="52" t="s">
        <v>89</v>
      </c>
      <c r="J19" s="53" t="s">
        <v>90</v>
      </c>
      <c r="K19" s="52">
        <v>-9663.5</v>
      </c>
      <c r="L19" s="52" t="s">
        <v>91</v>
      </c>
      <c r="M19" s="53" t="s">
        <v>63</v>
      </c>
      <c r="N19" s="53" t="s">
        <v>58</v>
      </c>
      <c r="O19" s="54" t="s">
        <v>79</v>
      </c>
      <c r="P19" s="55" t="s">
        <v>66</v>
      </c>
    </row>
    <row r="20" spans="1:16" ht="12.75" customHeight="1" thickBot="1" x14ac:dyDescent="0.25">
      <c r="A20" s="13" t="str">
        <f t="shared" si="0"/>
        <v>BAVM 158 </v>
      </c>
      <c r="B20" s="3" t="str">
        <f t="shared" si="1"/>
        <v>II</v>
      </c>
      <c r="C20" s="13">
        <f t="shared" si="2"/>
        <v>52137.404000000002</v>
      </c>
      <c r="D20" s="17" t="str">
        <f t="shared" si="3"/>
        <v>vis</v>
      </c>
      <c r="E20" s="51">
        <f>VLOOKUP(C20,Active!C$21:E$973,3,FALSE)</f>
        <v>60.504708455152823</v>
      </c>
      <c r="F20" s="3" t="s">
        <v>58</v>
      </c>
      <c r="G20" s="17" t="str">
        <f t="shared" si="4"/>
        <v>52137.4040</v>
      </c>
      <c r="H20" s="13">
        <f t="shared" si="5"/>
        <v>-9613.5</v>
      </c>
      <c r="I20" s="52" t="s">
        <v>92</v>
      </c>
      <c r="J20" s="53" t="s">
        <v>93</v>
      </c>
      <c r="K20" s="52">
        <v>-9613.5</v>
      </c>
      <c r="L20" s="52" t="s">
        <v>94</v>
      </c>
      <c r="M20" s="53" t="s">
        <v>63</v>
      </c>
      <c r="N20" s="53" t="s">
        <v>58</v>
      </c>
      <c r="O20" s="54" t="s">
        <v>79</v>
      </c>
      <c r="P20" s="55" t="s">
        <v>95</v>
      </c>
    </row>
    <row r="21" spans="1:16" ht="12.75" customHeight="1" thickBot="1" x14ac:dyDescent="0.25">
      <c r="A21" s="13" t="str">
        <f t="shared" si="0"/>
        <v>BAVM 158 </v>
      </c>
      <c r="B21" s="3" t="str">
        <f t="shared" si="1"/>
        <v>II</v>
      </c>
      <c r="C21" s="13">
        <f t="shared" si="2"/>
        <v>52476.442999999999</v>
      </c>
      <c r="D21" s="17" t="str">
        <f t="shared" si="3"/>
        <v>vis</v>
      </c>
      <c r="E21" s="51">
        <f>VLOOKUP(C21,Active!C$21:E$973,3,FALSE)</f>
        <v>872.50395834036522</v>
      </c>
      <c r="F21" s="3" t="s">
        <v>58</v>
      </c>
      <c r="G21" s="17" t="str">
        <f t="shared" si="4"/>
        <v>52476.4430</v>
      </c>
      <c r="H21" s="13">
        <f t="shared" si="5"/>
        <v>-8801.5</v>
      </c>
      <c r="I21" s="52" t="s">
        <v>96</v>
      </c>
      <c r="J21" s="53" t="s">
        <v>97</v>
      </c>
      <c r="K21" s="52">
        <v>-8801.5</v>
      </c>
      <c r="L21" s="52" t="s">
        <v>98</v>
      </c>
      <c r="M21" s="53" t="s">
        <v>63</v>
      </c>
      <c r="N21" s="53" t="s">
        <v>58</v>
      </c>
      <c r="O21" s="54" t="s">
        <v>79</v>
      </c>
      <c r="P21" s="55" t="s">
        <v>95</v>
      </c>
    </row>
    <row r="22" spans="1:16" ht="12.75" customHeight="1" thickBot="1" x14ac:dyDescent="0.25">
      <c r="A22" s="13" t="str">
        <f t="shared" si="0"/>
        <v>BAVM 172 </v>
      </c>
      <c r="B22" s="3" t="str">
        <f t="shared" si="1"/>
        <v>I</v>
      </c>
      <c r="C22" s="13">
        <f t="shared" si="2"/>
        <v>52816.5262</v>
      </c>
      <c r="D22" s="17" t="str">
        <f t="shared" si="3"/>
        <v>vis</v>
      </c>
      <c r="E22" s="51">
        <f>VLOOKUP(C22,Active!C$21:E$973,3,FALSE)</f>
        <v>1687.0040698277335</v>
      </c>
      <c r="F22" s="3" t="s">
        <v>58</v>
      </c>
      <c r="G22" s="17" t="str">
        <f t="shared" si="4"/>
        <v>52816.5262</v>
      </c>
      <c r="H22" s="13">
        <f t="shared" si="5"/>
        <v>-7987</v>
      </c>
      <c r="I22" s="52" t="s">
        <v>99</v>
      </c>
      <c r="J22" s="53" t="s">
        <v>100</v>
      </c>
      <c r="K22" s="52">
        <v>-7987</v>
      </c>
      <c r="L22" s="52" t="s">
        <v>101</v>
      </c>
      <c r="M22" s="53" t="s">
        <v>63</v>
      </c>
      <c r="N22" s="53" t="s">
        <v>64</v>
      </c>
      <c r="O22" s="54" t="s">
        <v>102</v>
      </c>
      <c r="P22" s="55" t="s">
        <v>103</v>
      </c>
    </row>
    <row r="23" spans="1:16" ht="12.75" customHeight="1" thickBot="1" x14ac:dyDescent="0.25">
      <c r="A23" s="13" t="str">
        <f t="shared" si="0"/>
        <v>BAVM 172 </v>
      </c>
      <c r="B23" s="3" t="str">
        <f t="shared" si="1"/>
        <v>I</v>
      </c>
      <c r="C23" s="13">
        <f t="shared" si="2"/>
        <v>52834.481399999997</v>
      </c>
      <c r="D23" s="17" t="str">
        <f t="shared" si="3"/>
        <v>vis</v>
      </c>
      <c r="E23" s="51">
        <f>VLOOKUP(C23,Active!C$21:E$973,3,FALSE)</f>
        <v>1730.0068185720856</v>
      </c>
      <c r="F23" s="3" t="s">
        <v>58</v>
      </c>
      <c r="G23" s="17" t="str">
        <f t="shared" si="4"/>
        <v>52834.4814</v>
      </c>
      <c r="H23" s="13">
        <f t="shared" si="5"/>
        <v>-7944</v>
      </c>
      <c r="I23" s="52" t="s">
        <v>104</v>
      </c>
      <c r="J23" s="53" t="s">
        <v>105</v>
      </c>
      <c r="K23" s="52">
        <v>-7944</v>
      </c>
      <c r="L23" s="52" t="s">
        <v>106</v>
      </c>
      <c r="M23" s="53" t="s">
        <v>63</v>
      </c>
      <c r="N23" s="53" t="s">
        <v>58</v>
      </c>
      <c r="O23" s="54" t="s">
        <v>79</v>
      </c>
      <c r="P23" s="55" t="s">
        <v>103</v>
      </c>
    </row>
    <row r="24" spans="1:16" ht="12.75" customHeight="1" thickBot="1" x14ac:dyDescent="0.25">
      <c r="A24" s="13" t="str">
        <f t="shared" si="0"/>
        <v>BAVM 178 </v>
      </c>
      <c r="B24" s="3" t="str">
        <f t="shared" si="1"/>
        <v>I</v>
      </c>
      <c r="C24" s="13">
        <f t="shared" si="2"/>
        <v>53612.352299999999</v>
      </c>
      <c r="D24" s="17" t="str">
        <f t="shared" si="3"/>
        <v>vis</v>
      </c>
      <c r="E24" s="51">
        <f>VLOOKUP(C24,Active!C$21:E$973,3,FALSE)</f>
        <v>3593.0095625264448</v>
      </c>
      <c r="F24" s="3" t="s">
        <v>58</v>
      </c>
      <c r="G24" s="17" t="str">
        <f t="shared" si="4"/>
        <v>53612.3523</v>
      </c>
      <c r="H24" s="13">
        <f t="shared" si="5"/>
        <v>-6081</v>
      </c>
      <c r="I24" s="52" t="s">
        <v>107</v>
      </c>
      <c r="J24" s="53" t="s">
        <v>108</v>
      </c>
      <c r="K24" s="52">
        <v>-6081</v>
      </c>
      <c r="L24" s="52" t="s">
        <v>109</v>
      </c>
      <c r="M24" s="53" t="s">
        <v>110</v>
      </c>
      <c r="N24" s="53" t="s">
        <v>111</v>
      </c>
      <c r="O24" s="54" t="s">
        <v>112</v>
      </c>
      <c r="P24" s="55" t="s">
        <v>113</v>
      </c>
    </row>
    <row r="25" spans="1:16" ht="12.75" customHeight="1" thickBot="1" x14ac:dyDescent="0.25">
      <c r="A25" s="13" t="str">
        <f t="shared" si="0"/>
        <v>BAVM 178 </v>
      </c>
      <c r="B25" s="3" t="str">
        <f t="shared" si="1"/>
        <v>II</v>
      </c>
      <c r="C25" s="13">
        <f t="shared" si="2"/>
        <v>53613.399799999999</v>
      </c>
      <c r="D25" s="17" t="str">
        <f t="shared" si="3"/>
        <v>vis</v>
      </c>
      <c r="E25" s="51">
        <f>VLOOKUP(C25,Active!C$21:E$973,3,FALSE)</f>
        <v>3595.5183276368161</v>
      </c>
      <c r="F25" s="3" t="s">
        <v>58</v>
      </c>
      <c r="G25" s="17" t="str">
        <f t="shared" si="4"/>
        <v>53613.3998</v>
      </c>
      <c r="H25" s="13">
        <f t="shared" si="5"/>
        <v>-6078.5</v>
      </c>
      <c r="I25" s="52" t="s">
        <v>114</v>
      </c>
      <c r="J25" s="53" t="s">
        <v>115</v>
      </c>
      <c r="K25" s="52" t="s">
        <v>116</v>
      </c>
      <c r="L25" s="52" t="s">
        <v>117</v>
      </c>
      <c r="M25" s="53" t="s">
        <v>110</v>
      </c>
      <c r="N25" s="53" t="s">
        <v>111</v>
      </c>
      <c r="O25" s="54" t="s">
        <v>112</v>
      </c>
      <c r="P25" s="55" t="s">
        <v>113</v>
      </c>
    </row>
    <row r="26" spans="1:16" ht="12.75" customHeight="1" thickBot="1" x14ac:dyDescent="0.25">
      <c r="A26" s="13" t="str">
        <f t="shared" si="0"/>
        <v>BAVM 183 </v>
      </c>
      <c r="B26" s="3" t="str">
        <f t="shared" si="1"/>
        <v>I</v>
      </c>
      <c r="C26" s="13">
        <f t="shared" si="2"/>
        <v>53910.475599999998</v>
      </c>
      <c r="D26" s="17" t="str">
        <f t="shared" si="3"/>
        <v>vis</v>
      </c>
      <c r="E26" s="51">
        <f>VLOOKUP(C26,Active!C$21:E$973,3,FALSE)</f>
        <v>4307.0156089497341</v>
      </c>
      <c r="F26" s="3" t="s">
        <v>58</v>
      </c>
      <c r="G26" s="17" t="str">
        <f t="shared" si="4"/>
        <v>53910.4756</v>
      </c>
      <c r="H26" s="13">
        <f t="shared" si="5"/>
        <v>-5367</v>
      </c>
      <c r="I26" s="52" t="s">
        <v>118</v>
      </c>
      <c r="J26" s="53" t="s">
        <v>119</v>
      </c>
      <c r="K26" s="52" t="s">
        <v>120</v>
      </c>
      <c r="L26" s="52" t="s">
        <v>121</v>
      </c>
      <c r="M26" s="53" t="s">
        <v>110</v>
      </c>
      <c r="N26" s="53" t="s">
        <v>64</v>
      </c>
      <c r="O26" s="54" t="s">
        <v>122</v>
      </c>
      <c r="P26" s="55" t="s">
        <v>123</v>
      </c>
    </row>
    <row r="27" spans="1:16" ht="12.75" customHeight="1" thickBot="1" x14ac:dyDescent="0.25">
      <c r="A27" s="13" t="str">
        <f t="shared" si="0"/>
        <v>OEJV 0116 </v>
      </c>
      <c r="B27" s="3" t="str">
        <f t="shared" si="1"/>
        <v>I</v>
      </c>
      <c r="C27" s="13">
        <f t="shared" si="2"/>
        <v>54657.449000000001</v>
      </c>
      <c r="D27" s="17" t="str">
        <f t="shared" si="3"/>
        <v>vis</v>
      </c>
      <c r="E27" s="51">
        <f>VLOOKUP(C27,Active!C$21:E$973,3,FALSE)</f>
        <v>6096.0187634075228</v>
      </c>
      <c r="F27" s="3" t="s">
        <v>58</v>
      </c>
      <c r="G27" s="17" t="str">
        <f t="shared" si="4"/>
        <v>54657.449</v>
      </c>
      <c r="H27" s="13">
        <f t="shared" si="5"/>
        <v>-3578</v>
      </c>
      <c r="I27" s="52" t="s">
        <v>129</v>
      </c>
      <c r="J27" s="53" t="s">
        <v>130</v>
      </c>
      <c r="K27" s="52" t="s">
        <v>131</v>
      </c>
      <c r="L27" s="52" t="s">
        <v>132</v>
      </c>
      <c r="M27" s="53" t="s">
        <v>110</v>
      </c>
      <c r="N27" s="53" t="s">
        <v>64</v>
      </c>
      <c r="O27" s="54" t="s">
        <v>133</v>
      </c>
      <c r="P27" s="55" t="s">
        <v>134</v>
      </c>
    </row>
    <row r="28" spans="1:16" ht="12.75" customHeight="1" thickBot="1" x14ac:dyDescent="0.25">
      <c r="A28" s="13" t="str">
        <f t="shared" si="0"/>
        <v>BAVM 220 </v>
      </c>
      <c r="B28" s="3" t="str">
        <f t="shared" si="1"/>
        <v>I</v>
      </c>
      <c r="C28" s="13">
        <f t="shared" si="2"/>
        <v>55784.380599999997</v>
      </c>
      <c r="D28" s="17" t="str">
        <f t="shared" si="3"/>
        <v>vis</v>
      </c>
      <c r="E28" s="51">
        <f>VLOOKUP(C28,Active!C$21:E$973,3,FALSE)</f>
        <v>8795.0227537211649</v>
      </c>
      <c r="F28" s="3" t="s">
        <v>58</v>
      </c>
      <c r="G28" s="17" t="str">
        <f t="shared" si="4"/>
        <v>55784.3806</v>
      </c>
      <c r="H28" s="13">
        <f t="shared" si="5"/>
        <v>-879</v>
      </c>
      <c r="I28" s="52" t="s">
        <v>147</v>
      </c>
      <c r="J28" s="53" t="s">
        <v>148</v>
      </c>
      <c r="K28" s="52" t="s">
        <v>149</v>
      </c>
      <c r="L28" s="52" t="s">
        <v>150</v>
      </c>
      <c r="M28" s="53" t="s">
        <v>110</v>
      </c>
      <c r="N28" s="53" t="s">
        <v>111</v>
      </c>
      <c r="O28" s="54" t="s">
        <v>112</v>
      </c>
      <c r="P28" s="55" t="s">
        <v>151</v>
      </c>
    </row>
    <row r="29" spans="1:16" ht="12.75" customHeight="1" thickBot="1" x14ac:dyDescent="0.25">
      <c r="A29" s="13" t="str">
        <f t="shared" si="0"/>
        <v>BAVM 228 </v>
      </c>
      <c r="B29" s="3" t="str">
        <f t="shared" si="1"/>
        <v>I</v>
      </c>
      <c r="C29" s="13">
        <f t="shared" si="2"/>
        <v>56151.395400000001</v>
      </c>
      <c r="D29" s="17" t="str">
        <f t="shared" si="3"/>
        <v>vis</v>
      </c>
      <c r="E29" s="51">
        <f>VLOOKUP(C29,Active!C$21:E$973,3,FALSE)</f>
        <v>9674.0241143220919</v>
      </c>
      <c r="F29" s="3" t="s">
        <v>58</v>
      </c>
      <c r="G29" s="17" t="str">
        <f t="shared" si="4"/>
        <v>56151.3954</v>
      </c>
      <c r="H29" s="13">
        <f t="shared" si="5"/>
        <v>0</v>
      </c>
      <c r="I29" s="52" t="s">
        <v>152</v>
      </c>
      <c r="J29" s="53" t="s">
        <v>153</v>
      </c>
      <c r="K29" s="52" t="s">
        <v>154</v>
      </c>
      <c r="L29" s="52" t="s">
        <v>155</v>
      </c>
      <c r="M29" s="53" t="s">
        <v>110</v>
      </c>
      <c r="N29" s="53" t="s">
        <v>64</v>
      </c>
      <c r="O29" s="54" t="s">
        <v>112</v>
      </c>
      <c r="P29" s="55" t="s">
        <v>156</v>
      </c>
    </row>
    <row r="30" spans="1:16" ht="12.75" customHeight="1" thickBot="1" x14ac:dyDescent="0.25">
      <c r="A30" s="13" t="str">
        <f t="shared" si="0"/>
        <v> BAVM193 </v>
      </c>
      <c r="B30" s="3" t="str">
        <f t="shared" si="1"/>
        <v>II</v>
      </c>
      <c r="C30" s="13">
        <f t="shared" si="2"/>
        <v>54314.443599999999</v>
      </c>
      <c r="D30" s="17" t="str">
        <f t="shared" si="3"/>
        <v>vis</v>
      </c>
      <c r="E30" s="51">
        <f>VLOOKUP(C30,Active!C$21:E$973,3,FALSE)</f>
        <v>5274.5199756380298</v>
      </c>
      <c r="F30" s="3" t="s">
        <v>58</v>
      </c>
      <c r="G30" s="17" t="str">
        <f t="shared" si="4"/>
        <v>54314.4436</v>
      </c>
      <c r="H30" s="13">
        <f t="shared" si="5"/>
        <v>-4399.5</v>
      </c>
      <c r="I30" s="52" t="s">
        <v>124</v>
      </c>
      <c r="J30" s="53" t="s">
        <v>125</v>
      </c>
      <c r="K30" s="52" t="s">
        <v>126</v>
      </c>
      <c r="L30" s="52" t="s">
        <v>127</v>
      </c>
      <c r="M30" s="53" t="s">
        <v>110</v>
      </c>
      <c r="N30" s="53" t="s">
        <v>58</v>
      </c>
      <c r="O30" s="54" t="s">
        <v>79</v>
      </c>
      <c r="P30" s="54" t="s">
        <v>128</v>
      </c>
    </row>
    <row r="31" spans="1:16" ht="12.75" customHeight="1" thickBot="1" x14ac:dyDescent="0.25">
      <c r="A31" s="13" t="str">
        <f t="shared" si="0"/>
        <v>BAVM 203 </v>
      </c>
      <c r="B31" s="3" t="str">
        <f t="shared" si="1"/>
        <v>I</v>
      </c>
      <c r="C31" s="13">
        <f t="shared" si="2"/>
        <v>54718.409</v>
      </c>
      <c r="D31" s="17" t="str">
        <f t="shared" si="3"/>
        <v>vis</v>
      </c>
      <c r="E31" s="51">
        <f>VLOOKUP(C31,Active!C$21:E$973,3,FALSE)</f>
        <v>6242.0181153198464</v>
      </c>
      <c r="F31" s="3" t="s">
        <v>58</v>
      </c>
      <c r="G31" s="17" t="str">
        <f t="shared" si="4"/>
        <v>54718.4090</v>
      </c>
      <c r="H31" s="13">
        <f t="shared" si="5"/>
        <v>-3432</v>
      </c>
      <c r="I31" s="52" t="s">
        <v>135</v>
      </c>
      <c r="J31" s="53" t="s">
        <v>136</v>
      </c>
      <c r="K31" s="52" t="s">
        <v>137</v>
      </c>
      <c r="L31" s="52" t="s">
        <v>138</v>
      </c>
      <c r="M31" s="53" t="s">
        <v>110</v>
      </c>
      <c r="N31" s="53" t="s">
        <v>58</v>
      </c>
      <c r="O31" s="54" t="s">
        <v>79</v>
      </c>
      <c r="P31" s="55" t="s">
        <v>139</v>
      </c>
    </row>
    <row r="32" spans="1:16" ht="12.75" customHeight="1" thickBot="1" x14ac:dyDescent="0.25">
      <c r="A32" s="13" t="str">
        <f t="shared" si="0"/>
        <v>VSB 51 </v>
      </c>
      <c r="B32" s="3" t="str">
        <f t="shared" si="1"/>
        <v>I</v>
      </c>
      <c r="C32" s="13">
        <f t="shared" si="2"/>
        <v>55414.033600000002</v>
      </c>
      <c r="D32" s="17" t="str">
        <f t="shared" si="3"/>
        <v>vis</v>
      </c>
      <c r="E32" s="51">
        <f>VLOOKUP(C32,Active!C$21:E$973,3,FALSE)</f>
        <v>7908.0407658164204</v>
      </c>
      <c r="F32" s="3" t="s">
        <v>58</v>
      </c>
      <c r="G32" s="17" t="str">
        <f t="shared" si="4"/>
        <v>55414.0336</v>
      </c>
      <c r="H32" s="13">
        <f t="shared" si="5"/>
        <v>-1766</v>
      </c>
      <c r="I32" s="52" t="s">
        <v>140</v>
      </c>
      <c r="J32" s="53" t="s">
        <v>141</v>
      </c>
      <c r="K32" s="52" t="s">
        <v>142</v>
      </c>
      <c r="L32" s="52" t="s">
        <v>143</v>
      </c>
      <c r="M32" s="53" t="s">
        <v>110</v>
      </c>
      <c r="N32" s="53" t="s">
        <v>144</v>
      </c>
      <c r="O32" s="54" t="s">
        <v>145</v>
      </c>
      <c r="P32" s="55" t="s">
        <v>146</v>
      </c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</sheetData>
  <phoneticPr fontId="8" type="noConversion"/>
  <hyperlinks>
    <hyperlink ref="A3" r:id="rId1"/>
    <hyperlink ref="P11" r:id="rId2" display="http://www.bav-astro.de/sfs/BAVM_link.php?BAVMnr=138"/>
    <hyperlink ref="P12" r:id="rId3" display="http://www.bav-astro.de/sfs/BAVM_link.php?BAVMnr=138"/>
    <hyperlink ref="P13" r:id="rId4" display="http://www.bav-astro.de/sfs/BAVM_link.php?BAVMnr=138"/>
    <hyperlink ref="P14" r:id="rId5" display="http://www.bav-astro.de/sfs/BAVM_link.php?BAVMnr=138"/>
    <hyperlink ref="P15" r:id="rId6" display="http://www.bav-astro.de/sfs/BAVM_link.php?BAVMnr=138"/>
    <hyperlink ref="P16" r:id="rId7" display="http://www.bav-astro.de/sfs/BAVM_link.php?BAVMnr=138"/>
    <hyperlink ref="P17" r:id="rId8" display="http://www.bav-astro.de/sfs/BAVM_link.php?BAVMnr=138"/>
    <hyperlink ref="P18" r:id="rId9" display="http://www.bav-astro.de/sfs/BAVM_link.php?BAVMnr=138"/>
    <hyperlink ref="P19" r:id="rId10" display="http://www.bav-astro.de/sfs/BAVM_link.php?BAVMnr=138"/>
    <hyperlink ref="P20" r:id="rId11" display="http://www.bav-astro.de/sfs/BAVM_link.php?BAVMnr=158"/>
    <hyperlink ref="P21" r:id="rId12" display="http://www.bav-astro.de/sfs/BAVM_link.php?BAVMnr=158"/>
    <hyperlink ref="P22" r:id="rId13" display="http://www.bav-astro.de/sfs/BAVM_link.php?BAVMnr=172"/>
    <hyperlink ref="P23" r:id="rId14" display="http://www.bav-astro.de/sfs/BAVM_link.php?BAVMnr=172"/>
    <hyperlink ref="P24" r:id="rId15" display="http://www.bav-astro.de/sfs/BAVM_link.php?BAVMnr=178"/>
    <hyperlink ref="P25" r:id="rId16" display="http://www.bav-astro.de/sfs/BAVM_link.php?BAVMnr=178"/>
    <hyperlink ref="P26" r:id="rId17" display="http://www.bav-astro.de/sfs/BAVM_link.php?BAVMnr=183"/>
    <hyperlink ref="P27" r:id="rId18" display="http://var.astro.cz/oejv/issues/oejv0116.pdf"/>
    <hyperlink ref="P31" r:id="rId19" display="http://www.bav-astro.de/sfs/BAVM_link.php?BAVMnr=203"/>
    <hyperlink ref="P32" r:id="rId20" display="http://vsolj.cetus-net.org/vsoljno51.pdf"/>
    <hyperlink ref="P28" r:id="rId21" display="http://www.bav-astro.de/sfs/BAVM_link.php?BAVMnr=220"/>
    <hyperlink ref="P29" r:id="rId22" display="http://www.bav-astro.de/sfs/BAVM_link.php?BAVMnr=22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2023-08-19T06:08:21Z</dcterms:modified>
</cp:coreProperties>
</file>