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DFB07AF7-DB45-4043-BE9A-0A9A4547E52A}" xr6:coauthVersionLast="47" xr6:coauthVersionMax="47" xr10:uidLastSave="{00000000-0000-0000-0000-000000000000}"/>
  <bookViews>
    <workbookView xWindow="14460" yWindow="330" windowWidth="13995" windowHeight="1452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3" i="1" l="1"/>
  <c r="F33" i="1" s="1"/>
  <c r="G33" i="1" s="1"/>
  <c r="K33" i="1" s="1"/>
  <c r="Q33" i="1"/>
  <c r="E34" i="1"/>
  <c r="F34" i="1"/>
  <c r="G34" i="1" s="1"/>
  <c r="K34" i="1" s="1"/>
  <c r="Q34" i="1"/>
  <c r="Q30" i="1"/>
  <c r="Q31" i="1"/>
  <c r="Q32" i="1"/>
  <c r="D9" i="1"/>
  <c r="C9" i="1"/>
  <c r="Q27" i="1"/>
  <c r="Q28" i="1"/>
  <c r="Q29" i="1"/>
  <c r="Q26" i="1"/>
  <c r="F16" i="1"/>
  <c r="F17" i="1" s="1"/>
  <c r="Q24" i="1"/>
  <c r="Q25" i="1"/>
  <c r="Q22" i="1"/>
  <c r="Q23" i="1"/>
  <c r="C7" i="1"/>
  <c r="E32" i="1"/>
  <c r="F32" i="1"/>
  <c r="C8" i="1"/>
  <c r="C17" i="1"/>
  <c r="Q21" i="1"/>
  <c r="G21" i="1"/>
  <c r="I21" i="1"/>
  <c r="E31" i="1"/>
  <c r="F31" i="1"/>
  <c r="G31" i="1"/>
  <c r="K31" i="1"/>
  <c r="E22" i="1"/>
  <c r="F22" i="1"/>
  <c r="G23" i="1"/>
  <c r="K23" i="1"/>
  <c r="E21" i="1"/>
  <c r="F21" i="1"/>
  <c r="G30" i="1"/>
  <c r="K30" i="1"/>
  <c r="E30" i="1"/>
  <c r="F30" i="1"/>
  <c r="G22" i="1"/>
  <c r="K22" i="1"/>
  <c r="E25" i="1"/>
  <c r="F25" i="1"/>
  <c r="G25" i="1"/>
  <c r="K25" i="1"/>
  <c r="E28" i="1"/>
  <c r="F28" i="1"/>
  <c r="G28" i="1"/>
  <c r="K28" i="1"/>
  <c r="G32" i="1"/>
  <c r="K32" i="1"/>
  <c r="E23" i="1"/>
  <c r="F23" i="1"/>
  <c r="E24" i="1"/>
  <c r="F24" i="1"/>
  <c r="G24" i="1"/>
  <c r="E29" i="1"/>
  <c r="F29" i="1"/>
  <c r="G29" i="1"/>
  <c r="K29" i="1"/>
  <c r="E26" i="1"/>
  <c r="F26" i="1"/>
  <c r="G26" i="1"/>
  <c r="K26" i="1"/>
  <c r="E27" i="1"/>
  <c r="F27" i="1"/>
  <c r="G27" i="1"/>
  <c r="K27" i="1"/>
  <c r="K24" i="1"/>
  <c r="C12" i="1"/>
  <c r="C11" i="1"/>
  <c r="O34" i="1" l="1"/>
  <c r="O33" i="1"/>
  <c r="O22" i="1"/>
  <c r="C15" i="1"/>
  <c r="O30" i="1"/>
  <c r="O28" i="1"/>
  <c r="O26" i="1"/>
  <c r="O27" i="1"/>
  <c r="O23" i="1"/>
  <c r="O24" i="1"/>
  <c r="O31" i="1"/>
  <c r="O21" i="1"/>
  <c r="O29" i="1"/>
  <c r="O25" i="1"/>
  <c r="O32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<sst xmlns="http://schemas.openxmlformats.org/spreadsheetml/2006/main" count="78" uniqueCount="55">
  <si>
    <t>VSB-66</t>
  </si>
  <si>
    <t>PE</t>
  </si>
  <si>
    <t>CCD</t>
  </si>
  <si>
    <t>pg</t>
  </si>
  <si>
    <t>Cycle count is uncertain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</si>
  <si>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</si>
  <si>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</si>
  <si>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</si>
  <si>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</si>
  <si>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</si>
  <si>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</si>
  <si>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</si>
  <si>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</si>
  <si>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</si>
  <si>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</si>
  <si>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</si>
  <si>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</si>
  <si>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</si>
  <si>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</si>
  <si>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</si>
  <si>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</si>
  <si>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</si>
  <si>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</si>
  <si>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</si>
  <si>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</si>
  <si>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</si>
  <si>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</si>
  <si>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</si>
  <si>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</si>
  <si>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</si>
  <si>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</si>
  <si>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</si>
  <si>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S6</t>
  </si>
  <si>
    <t>Misc</t>
  </si>
  <si>
    <t># of data points:</t>
  </si>
  <si>
    <t>V1695 Aql / GSC 5149-2845</t>
  </si>
  <si>
    <t>IBVS 5318</t>
  </si>
  <si>
    <t>IBVS 5645</t>
  </si>
  <si>
    <t>I</t>
  </si>
  <si>
    <t>II</t>
  </si>
  <si>
    <t xml:space="preserve">EW    </t>
  </si>
  <si>
    <t>OEJV 0160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</si>
  <si>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</si>
  <si>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</si>
  <si>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</si>
  <si>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</si>
  <si>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</si>
  <si>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</si>
  <si>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</si>
  <si>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</si>
  <si>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vis</t>
  </si>
  <si>
    <t>VSB 069</t>
  </si>
  <si>
    <t>V</t>
  </si>
  <si>
    <t>Ic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</si>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</sst>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5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 Unicode MS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3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8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5" fillId="0" borderId="0"/>
    <xf numFmtId="0" fontId="11" fillId="0" borderId="0"/>
    <xf numFmtId="0" fontId="11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11" xfId="0" applyFont="1" applyBorder="1" applyAlignment="1"/>
    <xf numFmtId="0" fontId="10" fillId="0" borderId="12" xfId="0" applyFont="1" applyBorder="1" applyAlignment="1"/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9" fillId="0" borderId="0" xfId="0" applyFont="1">
      <alignment vertical="top"/>
    </xf>
    <xf numFmtId="0" fontId="8" fillId="0" borderId="0" xfId="0" applyFont="1" applyAlignment="1"/>
    <xf numFmtId="22" fontId="8" fillId="0" borderId="0" xfId="0" applyNumberFormat="1" applyFont="1">
      <alignment vertical="top"/>
    </xf>
    <xf numFmtId="0" fontId="8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8" fillId="0" borderId="0" xfId="0" applyFont="1">
      <alignment vertical="top"/>
    </xf>
    <xf numFmtId="0" fontId="31" fillId="24" borderId="0" xfId="0" applyFont="1" applyFill="1" applyAlignment="1"/>
    <xf numFmtId="0" fontId="32" fillId="0" borderId="0" xfId="0" applyFont="1">
      <alignment vertical="top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32" fillId="0" borderId="0" xfId="41" applyFont="1" applyAlignment="1">
      <alignment wrapText="1"/>
    </xf>
    <xf numFmtId="0" fontId="32" fillId="0" borderId="0" xfId="41" applyFont="1" applyAlignment="1">
      <alignment horizontal="center" wrapText="1"/>
    </xf>
    <xf numFmtId="0" fontId="32" fillId="0" borderId="0" xfId="41" applyFont="1" applyAlignment="1">
      <alignment horizontal="left" wrapText="1"/>
    </xf>
    <xf numFmtId="0" fontId="0" fillId="25" borderId="0" xfId="0" applyFill="1" applyAlignment="1"/>
    <xf numFmtId="0" fontId="32" fillId="0" borderId="0" xfId="42" applyFont="1" applyAlignment="1">
      <alignment horizontal="left"/>
    </xf>
    <xf numFmtId="0" fontId="32" fillId="0" borderId="0" xfId="42" applyFont="1" applyAlignment="1">
      <alignment horizontal="center"/>
    </xf>
    <xf numFmtId="0" fontId="30" fillId="0" borderId="0" xfId="41" applyFont="1"/>
    <xf numFmtId="0" fontId="30" fillId="0" borderId="0" xfId="41" applyFont="1" applyAlignment="1">
      <alignment horizontal="center"/>
    </xf>
    <xf numFmtId="0" fontId="30" fillId="0" borderId="0" xfId="41" applyFont="1" applyAlignment="1">
      <alignment horizontal="left"/>
    </xf>
    <xf numFmtId="0" fontId="0" fillId="26" borderId="0" xfId="0" applyFill="1" applyAlignment="1"/>
    <xf numFmtId="0" fontId="34" fillId="0" borderId="0" xfId="0" applyFont="1" applyAlignment="1" applyProtection="1">
      <alignment horizontal="left"/>
      <protection locked="0"/>
    </xf>
    <xf numFmtId="0" fontId="34" fillId="0" borderId="0" xfId="0" applyFont="1" applyAlignment="1" applyProtection="1">
      <alignment horizontal="center"/>
      <protection locked="0"/>
    </xf>
    <xf numFmtId="176" fontId="34" fillId="0" borderId="0" xfId="0" applyNumberFormat="1" applyFont="1" applyAlignment="1" applyProtection="1">
      <alignment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V1695 Aql - O-C Diagr.</a:t>
            </a:r>
          </a:p>
        </c:rich>
      </c:tx>
      <c:layout>
        <c:manualLayout>
          <c:xMode val="edge"/>
          <c:yMode val="edge"/>
          <c:x val="0.361874329521410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723926380368099"/>
          <c:w val="0.80937058998462585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130.5</c:v>
                </c:pt>
                <c:pt idx="3">
                  <c:v>8673</c:v>
                </c:pt>
                <c:pt idx="4">
                  <c:v>8765</c:v>
                </c:pt>
                <c:pt idx="5">
                  <c:v>11471</c:v>
                </c:pt>
                <c:pt idx="6">
                  <c:v>14043</c:v>
                </c:pt>
                <c:pt idx="7">
                  <c:v>14043</c:v>
                </c:pt>
                <c:pt idx="8">
                  <c:v>14043</c:v>
                </c:pt>
                <c:pt idx="9">
                  <c:v>15603.5</c:v>
                </c:pt>
                <c:pt idx="10">
                  <c:v>15603.5</c:v>
                </c:pt>
                <c:pt idx="11">
                  <c:v>15855</c:v>
                </c:pt>
                <c:pt idx="12">
                  <c:v>17592</c:v>
                </c:pt>
                <c:pt idx="13">
                  <c:v>17594.5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AB-4311-9DCF-BF67B926E94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130.5</c:v>
                </c:pt>
                <c:pt idx="3">
                  <c:v>8673</c:v>
                </c:pt>
                <c:pt idx="4">
                  <c:v>8765</c:v>
                </c:pt>
                <c:pt idx="5">
                  <c:v>11471</c:v>
                </c:pt>
                <c:pt idx="6">
                  <c:v>14043</c:v>
                </c:pt>
                <c:pt idx="7">
                  <c:v>14043</c:v>
                </c:pt>
                <c:pt idx="8">
                  <c:v>14043</c:v>
                </c:pt>
                <c:pt idx="9">
                  <c:v>15603.5</c:v>
                </c:pt>
                <c:pt idx="10">
                  <c:v>15603.5</c:v>
                </c:pt>
                <c:pt idx="11">
                  <c:v>15855</c:v>
                </c:pt>
                <c:pt idx="12">
                  <c:v>17592</c:v>
                </c:pt>
                <c:pt idx="13">
                  <c:v>17594.5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AB-4311-9DCF-BF67B926E94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130.5</c:v>
                </c:pt>
                <c:pt idx="3">
                  <c:v>8673</c:v>
                </c:pt>
                <c:pt idx="4">
                  <c:v>8765</c:v>
                </c:pt>
                <c:pt idx="5">
                  <c:v>11471</c:v>
                </c:pt>
                <c:pt idx="6">
                  <c:v>14043</c:v>
                </c:pt>
                <c:pt idx="7">
                  <c:v>14043</c:v>
                </c:pt>
                <c:pt idx="8">
                  <c:v>14043</c:v>
                </c:pt>
                <c:pt idx="9">
                  <c:v>15603.5</c:v>
                </c:pt>
                <c:pt idx="10">
                  <c:v>15603.5</c:v>
                </c:pt>
                <c:pt idx="11">
                  <c:v>15855</c:v>
                </c:pt>
                <c:pt idx="12">
                  <c:v>17592</c:v>
                </c:pt>
                <c:pt idx="13">
                  <c:v>17594.5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AAB-4311-9DCF-BF67B926E94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130.5</c:v>
                </c:pt>
                <c:pt idx="3">
                  <c:v>8673</c:v>
                </c:pt>
                <c:pt idx="4">
                  <c:v>8765</c:v>
                </c:pt>
                <c:pt idx="5">
                  <c:v>11471</c:v>
                </c:pt>
                <c:pt idx="6">
                  <c:v>14043</c:v>
                </c:pt>
                <c:pt idx="7">
                  <c:v>14043</c:v>
                </c:pt>
                <c:pt idx="8">
                  <c:v>14043</c:v>
                </c:pt>
                <c:pt idx="9">
                  <c:v>15603.5</c:v>
                </c:pt>
                <c:pt idx="10">
                  <c:v>15603.5</c:v>
                </c:pt>
                <c:pt idx="11">
                  <c:v>15855</c:v>
                </c:pt>
                <c:pt idx="12">
                  <c:v>17592</c:v>
                </c:pt>
                <c:pt idx="13">
                  <c:v>17594.5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3.1999999991967343E-3</c:v>
                </c:pt>
                <c:pt idx="2">
                  <c:v>-5.9999999939464033E-4</c:v>
                </c:pt>
                <c:pt idx="3">
                  <c:v>-0.19456999999965774</c:v>
                </c:pt>
                <c:pt idx="4">
                  <c:v>-0.19340000000374857</c:v>
                </c:pt>
                <c:pt idx="5">
                  <c:v>-0.24899999999615829</c:v>
                </c:pt>
                <c:pt idx="6">
                  <c:v>-0.28989999982877634</c:v>
                </c:pt>
                <c:pt idx="7">
                  <c:v>-0.28870000000461005</c:v>
                </c:pt>
                <c:pt idx="8">
                  <c:v>-0.28480000011040829</c:v>
                </c:pt>
                <c:pt idx="9">
                  <c:v>-0.31190000000060536</c:v>
                </c:pt>
                <c:pt idx="10">
                  <c:v>-0.31130000000121072</c:v>
                </c:pt>
                <c:pt idx="11">
                  <c:v>-0.31730000000243308</c:v>
                </c:pt>
                <c:pt idx="12">
                  <c:v>-0.34859999986656476</c:v>
                </c:pt>
                <c:pt idx="13">
                  <c:v>-0.40359999991051154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AAB-4311-9DCF-BF67B926E94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130.5</c:v>
                </c:pt>
                <c:pt idx="3">
                  <c:v>8673</c:v>
                </c:pt>
                <c:pt idx="4">
                  <c:v>8765</c:v>
                </c:pt>
                <c:pt idx="5">
                  <c:v>11471</c:v>
                </c:pt>
                <c:pt idx="6">
                  <c:v>14043</c:v>
                </c:pt>
                <c:pt idx="7">
                  <c:v>14043</c:v>
                </c:pt>
                <c:pt idx="8">
                  <c:v>14043</c:v>
                </c:pt>
                <c:pt idx="9">
                  <c:v>15603.5</c:v>
                </c:pt>
                <c:pt idx="10">
                  <c:v>15603.5</c:v>
                </c:pt>
                <c:pt idx="11">
                  <c:v>15855</c:v>
                </c:pt>
                <c:pt idx="12">
                  <c:v>17592</c:v>
                </c:pt>
                <c:pt idx="13">
                  <c:v>17594.5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AAB-4311-9DCF-BF67B926E94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130.5</c:v>
                </c:pt>
                <c:pt idx="3">
                  <c:v>8673</c:v>
                </c:pt>
                <c:pt idx="4">
                  <c:v>8765</c:v>
                </c:pt>
                <c:pt idx="5">
                  <c:v>11471</c:v>
                </c:pt>
                <c:pt idx="6">
                  <c:v>14043</c:v>
                </c:pt>
                <c:pt idx="7">
                  <c:v>14043</c:v>
                </c:pt>
                <c:pt idx="8">
                  <c:v>14043</c:v>
                </c:pt>
                <c:pt idx="9">
                  <c:v>15603.5</c:v>
                </c:pt>
                <c:pt idx="10">
                  <c:v>15603.5</c:v>
                </c:pt>
                <c:pt idx="11">
                  <c:v>15855</c:v>
                </c:pt>
                <c:pt idx="12">
                  <c:v>17592</c:v>
                </c:pt>
                <c:pt idx="13">
                  <c:v>17594.5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AAB-4311-9DCF-BF67B926E94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130.5</c:v>
                </c:pt>
                <c:pt idx="3">
                  <c:v>8673</c:v>
                </c:pt>
                <c:pt idx="4">
                  <c:v>8765</c:v>
                </c:pt>
                <c:pt idx="5">
                  <c:v>11471</c:v>
                </c:pt>
                <c:pt idx="6">
                  <c:v>14043</c:v>
                </c:pt>
                <c:pt idx="7">
                  <c:v>14043</c:v>
                </c:pt>
                <c:pt idx="8">
                  <c:v>14043</c:v>
                </c:pt>
                <c:pt idx="9">
                  <c:v>15603.5</c:v>
                </c:pt>
                <c:pt idx="10">
                  <c:v>15603.5</c:v>
                </c:pt>
                <c:pt idx="11">
                  <c:v>15855</c:v>
                </c:pt>
                <c:pt idx="12">
                  <c:v>17592</c:v>
                </c:pt>
                <c:pt idx="13">
                  <c:v>17594.5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AAB-4311-9DCF-BF67B926E94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130.5</c:v>
                </c:pt>
                <c:pt idx="3">
                  <c:v>8673</c:v>
                </c:pt>
                <c:pt idx="4">
                  <c:v>8765</c:v>
                </c:pt>
                <c:pt idx="5">
                  <c:v>11471</c:v>
                </c:pt>
                <c:pt idx="6">
                  <c:v>14043</c:v>
                </c:pt>
                <c:pt idx="7">
                  <c:v>14043</c:v>
                </c:pt>
                <c:pt idx="8">
                  <c:v>14043</c:v>
                </c:pt>
                <c:pt idx="9">
                  <c:v>15603.5</c:v>
                </c:pt>
                <c:pt idx="10">
                  <c:v>15603.5</c:v>
                </c:pt>
                <c:pt idx="11">
                  <c:v>15855</c:v>
                </c:pt>
                <c:pt idx="12">
                  <c:v>17592</c:v>
                </c:pt>
                <c:pt idx="13">
                  <c:v>17594.5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-2.2325687194063637E-2</c:v>
                </c:pt>
                <c:pt idx="1">
                  <c:v>-2.2325687194063637E-2</c:v>
                </c:pt>
                <c:pt idx="2">
                  <c:v>-2.4835021747315181E-2</c:v>
                </c:pt>
                <c:pt idx="3">
                  <c:v>-0.18909548474464333</c:v>
                </c:pt>
                <c:pt idx="4">
                  <c:v>-0.19086451753314251</c:v>
                </c:pt>
                <c:pt idx="5">
                  <c:v>-0.24289715585573776</c:v>
                </c:pt>
                <c:pt idx="6">
                  <c:v>-0.29235315946464946</c:v>
                </c:pt>
                <c:pt idx="7">
                  <c:v>-0.29235315946464946</c:v>
                </c:pt>
                <c:pt idx="8">
                  <c:v>-0.29235315946464946</c:v>
                </c:pt>
                <c:pt idx="9">
                  <c:v>-0.32235941670870338</c:v>
                </c:pt>
                <c:pt idx="10">
                  <c:v>-0.32235941670870338</c:v>
                </c:pt>
                <c:pt idx="11">
                  <c:v>-0.32719541395117663</c:v>
                </c:pt>
                <c:pt idx="12">
                  <c:v>-0.36059552214273172</c:v>
                </c:pt>
                <c:pt idx="13">
                  <c:v>-0.36064359368589743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AAB-4311-9DCF-BF67B926E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9312008"/>
        <c:axId val="1"/>
      </c:scatterChart>
      <c:valAx>
        <c:axId val="509312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93120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32488689317711"/>
          <c:y val="0.92024539877300615"/>
          <c:w val="0.6752832228766234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28575</xdr:rowOff>
    </xdr:from>
    <xdr:to>
      <xdr:col>16</xdr:col>
      <xdr:colOff>333375</xdr:colOff>
      <xdr:row>18</xdr:row>
      <xdr:rowOff>66675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3B9A50F-0344-24EF-8125-2F364083A5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workbookViewId="0">
      <selection activeCell="F9" sqref="F9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35</v>
      </c>
    </row>
    <row r="2" spans="1:6">
      <c r="A2" t="s">
        <v>30</v>
      </c>
      <c r="B2" s="18" t="s">
        <v>40</v>
      </c>
      <c r="C2" s="6"/>
      <c r="D2" s="6"/>
    </row>
    <row r="3" spans="1:6" ht="13.5" thickBot="1">
      <c r="C3" s="30" t="s">
        <v>4</v>
      </c>
      <c r="D3" s="30"/>
    </row>
    <row r="4" spans="1:6" ht="13.5" thickBot="1">
      <c r="A4" s="8" t="s">
        <v>6</v>
      </c>
      <c r="C4" s="13">
        <v>52522.44</v>
      </c>
      <c r="D4" s="14">
        <v>0.4128</v>
      </c>
    </row>
    <row r="5" spans="1:6">
      <c r="A5" s="19" t="s">
        <v>42</v>
      </c>
      <c r="B5" s="20"/>
      <c r="C5" s="21">
        <v>-9.5</v>
      </c>
      <c r="D5" s="20" t="s">
        <v>43</v>
      </c>
    </row>
    <row r="6" spans="1:6">
      <c r="A6" s="8" t="s">
        <v>7</v>
      </c>
    </row>
    <row r="7" spans="1:6">
      <c r="A7" t="s">
        <v>8</v>
      </c>
      <c r="C7">
        <f>+C4</f>
        <v>52522.44</v>
      </c>
    </row>
    <row r="8" spans="1:6">
      <c r="A8" t="s">
        <v>9</v>
      </c>
      <c r="C8">
        <f>+D4</f>
        <v>0.4128</v>
      </c>
    </row>
    <row r="9" spans="1:6">
      <c r="A9" s="27" t="s">
        <v>49</v>
      </c>
      <c r="B9" s="28">
        <v>24</v>
      </c>
      <c r="C9" s="26" t="str">
        <f>"F"&amp;B9</f>
        <v>F24</v>
      </c>
      <c r="D9" s="24" t="str">
        <f>"G"&amp;B9</f>
        <v>G24</v>
      </c>
    </row>
    <row r="10" spans="1:6" ht="13.5" thickBot="1">
      <c r="C10" s="7" t="s">
        <v>25</v>
      </c>
      <c r="D10" s="7" t="s">
        <v>26</v>
      </c>
    </row>
    <row r="11" spans="1:6">
      <c r="A11" t="s">
        <v>21</v>
      </c>
      <c r="C11" s="29">
        <f ca="1">INTERCEPT(INDIRECT($D$9):G992,INDIRECT($C$9):F992)</f>
        <v>-2.2325687194063637E-2</v>
      </c>
      <c r="D11" s="6"/>
    </row>
    <row r="12" spans="1:6">
      <c r="A12" t="s">
        <v>22</v>
      </c>
      <c r="C12" s="29">
        <f ca="1">SLOPE(INDIRECT($D$9):G992,INDIRECT($C$9):F992)</f>
        <v>-1.9228617266295365E-5</v>
      </c>
      <c r="D12" s="6"/>
    </row>
    <row r="13" spans="1:6">
      <c r="A13" t="s">
        <v>24</v>
      </c>
      <c r="C13" s="6" t="s">
        <v>19</v>
      </c>
    </row>
    <row r="14" spans="1:6">
      <c r="A14" t="s">
        <v>29</v>
      </c>
    </row>
    <row r="15" spans="1:6">
      <c r="A15" s="3" t="s">
        <v>23</v>
      </c>
      <c r="C15" s="11">
        <f ca="1">(C7+C11)+(C8+C12)*INT(MAX(F21:F3533))</f>
        <v>59784.882566020628</v>
      </c>
      <c r="E15" s="22" t="s">
        <v>44</v>
      </c>
      <c r="F15" s="21">
        <v>1</v>
      </c>
    </row>
    <row r="16" spans="1:6">
      <c r="A16" s="8" t="s">
        <v>10</v>
      </c>
      <c r="C16" s="12">
        <f ca="1">+C8+C12</f>
        <v>0.41278077138273372</v>
      </c>
      <c r="E16" s="22" t="s">
        <v>45</v>
      </c>
      <c r="F16" s="23">
        <f ca="1">NOW()+15018.5+$C$5/24</f>
        <v>60175.756558449073</v>
      </c>
    </row>
    <row r="17" spans="1:17" ht="13.5" thickBot="1">
      <c r="A17" t="s">
        <v>34</v>
      </c>
      <c r="C17">
        <f>COUNT(C21:C2191)</f>
        <v>14</v>
      </c>
      <c r="E17" s="22" t="s">
        <v>46</v>
      </c>
      <c r="F17" s="23">
        <f ca="1">ROUND(2*(F16-$C$7)/$C$8,0)/2+F15</f>
        <v>18541</v>
      </c>
    </row>
    <row r="18" spans="1:17" ht="14.25" thickTop="1" thickBot="1">
      <c r="A18" s="8" t="s">
        <v>11</v>
      </c>
      <c r="C18" s="4">
        <f ca="1">+C15</f>
        <v>59784.882566020628</v>
      </c>
      <c r="D18" s="5">
        <f ca="1">+C16</f>
        <v>0.41278077138273372</v>
      </c>
      <c r="E18" s="22" t="s">
        <v>47</v>
      </c>
      <c r="F18" s="24">
        <f ca="1">ROUND(2*(F16-$C$15)/$C$16,0)/2+F15</f>
        <v>948</v>
      </c>
    </row>
    <row r="19" spans="1:17" ht="13.5" thickTop="1">
      <c r="E19" s="22" t="s">
        <v>48</v>
      </c>
      <c r="F19" s="25">
        <f ca="1">+$C$15+$C$16*F18-15018.5-$C$5/24</f>
        <v>45158.094570624795</v>
      </c>
    </row>
    <row r="20" spans="1:17" ht="13.5" thickBot="1">
      <c r="A20" s="7" t="s">
        <v>12</v>
      </c>
      <c r="B20" s="7" t="s">
        <v>13</v>
      </c>
      <c r="C20" s="7" t="s">
        <v>14</v>
      </c>
      <c r="D20" s="7" t="s">
        <v>18</v>
      </c>
      <c r="E20" s="7" t="s">
        <v>15</v>
      </c>
      <c r="F20" s="7" t="s">
        <v>16</v>
      </c>
      <c r="G20" s="7" t="s">
        <v>17</v>
      </c>
      <c r="H20" s="10" t="s">
        <v>3</v>
      </c>
      <c r="I20" s="10" t="s">
        <v>50</v>
      </c>
      <c r="J20" s="10" t="s">
        <v>1</v>
      </c>
      <c r="K20" s="10" t="s">
        <v>2</v>
      </c>
      <c r="L20" s="10" t="s">
        <v>31</v>
      </c>
      <c r="M20" s="10" t="s">
        <v>32</v>
      </c>
      <c r="N20" s="10" t="s">
        <v>33</v>
      </c>
      <c r="O20" s="10" t="s">
        <v>28</v>
      </c>
      <c r="P20" s="9" t="s">
        <v>27</v>
      </c>
      <c r="Q20" s="7" t="s">
        <v>20</v>
      </c>
    </row>
    <row r="21" spans="1:17">
      <c r="A21" t="s">
        <v>36</v>
      </c>
      <c r="C21" s="16">
        <v>52522.44</v>
      </c>
      <c r="D21" s="16" t="s">
        <v>19</v>
      </c>
      <c r="E21">
        <f t="shared" ref="E21:E26" si="0">+(C21-C$7)/C$8</f>
        <v>0</v>
      </c>
      <c r="F21">
        <f>ROUND(2*E21,0)/2</f>
        <v>0</v>
      </c>
      <c r="G21">
        <f t="shared" ref="G21:G26" si="1">+C21-(C$7+F21*C$8)</f>
        <v>0</v>
      </c>
      <c r="I21">
        <f>+G21</f>
        <v>0</v>
      </c>
      <c r="O21">
        <f t="shared" ref="O21:O26" ca="1" si="2">+C$11+C$12*$F21</f>
        <v>-2.2325687194063637E-2</v>
      </c>
      <c r="Q21" s="2">
        <f t="shared" ref="Q21:Q26" si="3">+C21-15018.5</f>
        <v>37503.94</v>
      </c>
    </row>
    <row r="22" spans="1:17">
      <c r="A22" t="s">
        <v>37</v>
      </c>
      <c r="B22" s="15" t="s">
        <v>38</v>
      </c>
      <c r="C22" s="17">
        <v>52522.443200000002</v>
      </c>
      <c r="D22" s="17">
        <v>8.0000000000000004E-4</v>
      </c>
      <c r="E22">
        <f t="shared" si="0"/>
        <v>7.7519379825502282E-3</v>
      </c>
      <c r="F22">
        <f>ROUND(2*E22,0)/2</f>
        <v>0</v>
      </c>
      <c r="G22">
        <f t="shared" si="1"/>
        <v>3.1999999991967343E-3</v>
      </c>
      <c r="K22">
        <f t="shared" ref="K22:K29" si="4">+G22</f>
        <v>3.1999999991967343E-3</v>
      </c>
      <c r="O22">
        <f t="shared" ca="1" si="2"/>
        <v>-2.2325687194063637E-2</v>
      </c>
      <c r="Q22" s="2">
        <f t="shared" si="3"/>
        <v>37503.943200000002</v>
      </c>
    </row>
    <row r="23" spans="1:17">
      <c r="A23" t="s">
        <v>37</v>
      </c>
      <c r="B23" s="15" t="s">
        <v>39</v>
      </c>
      <c r="C23" s="17">
        <v>52576.309800000003</v>
      </c>
      <c r="D23" s="17">
        <v>8.0000000000000004E-4</v>
      </c>
      <c r="E23">
        <f t="shared" si="0"/>
        <v>130.49854651162886</v>
      </c>
      <c r="F23">
        <f>ROUND(2*E23,0)/2</f>
        <v>130.5</v>
      </c>
      <c r="G23">
        <f t="shared" si="1"/>
        <v>-5.9999999939464033E-4</v>
      </c>
      <c r="K23">
        <f t="shared" si="4"/>
        <v>-5.9999999939464033E-4</v>
      </c>
      <c r="O23">
        <f t="shared" ca="1" si="2"/>
        <v>-2.4835021747315181E-2</v>
      </c>
      <c r="Q23" s="2">
        <f t="shared" si="3"/>
        <v>37557.809800000003</v>
      </c>
    </row>
    <row r="24" spans="1:17">
      <c r="A24" s="31" t="s">
        <v>41</v>
      </c>
      <c r="B24" s="32" t="s">
        <v>38</v>
      </c>
      <c r="C24" s="33">
        <v>56102.45983</v>
      </c>
      <c r="D24" s="33">
        <v>2.9999999999999997E-4</v>
      </c>
      <c r="E24">
        <f t="shared" si="0"/>
        <v>8672.5286579457297</v>
      </c>
      <c r="F24" s="37">
        <f t="shared" ref="F24:F29" si="5">ROUND(2*E24,0)/2+0.5</f>
        <v>8673</v>
      </c>
      <c r="G24">
        <f t="shared" si="1"/>
        <v>-0.19456999999965774</v>
      </c>
      <c r="K24">
        <f t="shared" si="4"/>
        <v>-0.19456999999965774</v>
      </c>
      <c r="O24">
        <f t="shared" ca="1" si="2"/>
        <v>-0.18909548474464333</v>
      </c>
      <c r="Q24" s="2">
        <f t="shared" si="3"/>
        <v>41083.95983</v>
      </c>
    </row>
    <row r="25" spans="1:17">
      <c r="A25" s="31" t="s">
        <v>41</v>
      </c>
      <c r="B25" s="32" t="s">
        <v>38</v>
      </c>
      <c r="C25" s="33">
        <v>56140.438600000001</v>
      </c>
      <c r="D25" s="33">
        <v>2.9999999999999997E-4</v>
      </c>
      <c r="E25">
        <f t="shared" si="0"/>
        <v>8764.5314922480593</v>
      </c>
      <c r="F25" s="37">
        <f t="shared" si="5"/>
        <v>8765</v>
      </c>
      <c r="G25">
        <f t="shared" si="1"/>
        <v>-0.19340000000374857</v>
      </c>
      <c r="K25">
        <f t="shared" si="4"/>
        <v>-0.19340000000374857</v>
      </c>
      <c r="O25">
        <f t="shared" ca="1" si="2"/>
        <v>-0.19086451753314251</v>
      </c>
      <c r="Q25" s="2">
        <f t="shared" si="3"/>
        <v>41121.938600000001</v>
      </c>
    </row>
    <row r="26" spans="1:17">
      <c r="A26" s="34" t="s">
        <v>5</v>
      </c>
      <c r="B26" s="35" t="s">
        <v>38</v>
      </c>
      <c r="C26" s="36">
        <v>57257.419800000003</v>
      </c>
      <c r="D26" s="36">
        <v>4.0000000000000001E-3</v>
      </c>
      <c r="E26">
        <f t="shared" si="0"/>
        <v>11470.396802325584</v>
      </c>
      <c r="F26" s="37">
        <f t="shared" si="5"/>
        <v>11471</v>
      </c>
      <c r="G26">
        <f t="shared" si="1"/>
        <v>-0.24899999999615829</v>
      </c>
      <c r="K26">
        <f t="shared" si="4"/>
        <v>-0.24899999999615829</v>
      </c>
      <c r="O26">
        <f t="shared" ca="1" si="2"/>
        <v>-0.24289715585573776</v>
      </c>
      <c r="Q26" s="2">
        <f t="shared" si="3"/>
        <v>42238.919800000003</v>
      </c>
    </row>
    <row r="27" spans="1:17">
      <c r="A27" s="38" t="s">
        <v>0</v>
      </c>
      <c r="B27" s="39" t="s">
        <v>38</v>
      </c>
      <c r="C27" s="38">
        <v>58319.100500000175</v>
      </c>
      <c r="D27" s="38" t="s">
        <v>19</v>
      </c>
      <c r="E27">
        <f t="shared" ref="E27:E32" si="6">+(C27-C$7)/C$8</f>
        <v>14042.297722868636</v>
      </c>
      <c r="F27" s="37">
        <f t="shared" si="5"/>
        <v>14043</v>
      </c>
      <c r="G27">
        <f t="shared" ref="G27:G32" si="7">+C27-(C$7+F27*C$8)</f>
        <v>-0.28989999982877634</v>
      </c>
      <c r="K27">
        <f t="shared" si="4"/>
        <v>-0.28989999982877634</v>
      </c>
      <c r="O27">
        <f t="shared" ref="O27:O32" ca="1" si="8">+C$11+C$12*$F27</f>
        <v>-0.29235315946464946</v>
      </c>
      <c r="Q27" s="2">
        <f t="shared" ref="Q27:Q32" si="9">+C27-15018.5</f>
        <v>43300.600500000175</v>
      </c>
    </row>
    <row r="28" spans="1:17">
      <c r="A28" s="38" t="s">
        <v>0</v>
      </c>
      <c r="B28" s="39" t="s">
        <v>38</v>
      </c>
      <c r="C28" s="38">
        <v>58319.101699999999</v>
      </c>
      <c r="D28" s="38" t="s">
        <v>19</v>
      </c>
      <c r="E28">
        <f t="shared" si="6"/>
        <v>14042.300629844955</v>
      </c>
      <c r="F28" s="37">
        <f t="shared" si="5"/>
        <v>14043</v>
      </c>
      <c r="G28">
        <f t="shared" si="7"/>
        <v>-0.28870000000461005</v>
      </c>
      <c r="K28">
        <f t="shared" si="4"/>
        <v>-0.28870000000461005</v>
      </c>
      <c r="O28">
        <f t="shared" ca="1" si="8"/>
        <v>-0.29235315946464946</v>
      </c>
      <c r="Q28" s="2">
        <f t="shared" si="9"/>
        <v>43300.601699999999</v>
      </c>
    </row>
    <row r="29" spans="1:17">
      <c r="A29" s="38" t="s">
        <v>0</v>
      </c>
      <c r="B29" s="39" t="s">
        <v>38</v>
      </c>
      <c r="C29" s="38">
        <v>58319.105599999893</v>
      </c>
      <c r="D29" s="38" t="s">
        <v>19</v>
      </c>
      <c r="E29">
        <f t="shared" si="6"/>
        <v>14042.310077519116</v>
      </c>
      <c r="F29" s="37">
        <f t="shared" si="5"/>
        <v>14043</v>
      </c>
      <c r="G29">
        <f t="shared" si="7"/>
        <v>-0.28480000011040829</v>
      </c>
      <c r="K29">
        <f t="shared" si="4"/>
        <v>-0.28480000011040829</v>
      </c>
      <c r="O29">
        <f t="shared" ca="1" si="8"/>
        <v>-0.29235315946464946</v>
      </c>
      <c r="Q29" s="2">
        <f t="shared" si="9"/>
        <v>43300.605599999893</v>
      </c>
    </row>
    <row r="30" spans="1:17">
      <c r="A30" s="40" t="s">
        <v>51</v>
      </c>
      <c r="B30" s="41" t="s">
        <v>38</v>
      </c>
      <c r="C30" s="42">
        <v>58963.252899999999</v>
      </c>
      <c r="D30" s="42" t="s">
        <v>52</v>
      </c>
      <c r="E30">
        <f t="shared" si="6"/>
        <v>15602.744428294567</v>
      </c>
      <c r="F30" s="43">
        <f>ROUND(2*E30,0)/2+1</f>
        <v>15603.5</v>
      </c>
      <c r="G30">
        <f t="shared" si="7"/>
        <v>-0.31190000000060536</v>
      </c>
      <c r="K30">
        <f>+G30</f>
        <v>-0.31190000000060536</v>
      </c>
      <c r="O30">
        <f t="shared" ca="1" si="8"/>
        <v>-0.32235941670870338</v>
      </c>
      <c r="Q30" s="2">
        <f t="shared" si="9"/>
        <v>43944.752899999999</v>
      </c>
    </row>
    <row r="31" spans="1:17">
      <c r="A31" s="40" t="s">
        <v>51</v>
      </c>
      <c r="B31" s="41" t="s">
        <v>38</v>
      </c>
      <c r="C31" s="42">
        <v>58963.253499999999</v>
      </c>
      <c r="D31" s="42" t="s">
        <v>53</v>
      </c>
      <c r="E31">
        <f t="shared" si="6"/>
        <v>15602.745881782937</v>
      </c>
      <c r="F31" s="43">
        <f>ROUND(2*E31,0)/2+1</f>
        <v>15603.5</v>
      </c>
      <c r="G31">
        <f t="shared" si="7"/>
        <v>-0.31130000000121072</v>
      </c>
      <c r="K31">
        <f>+G31</f>
        <v>-0.31130000000121072</v>
      </c>
      <c r="O31">
        <f t="shared" ca="1" si="8"/>
        <v>-0.32235941670870338</v>
      </c>
      <c r="Q31" s="2">
        <f t="shared" si="9"/>
        <v>43944.753499999999</v>
      </c>
    </row>
    <row r="32" spans="1:17">
      <c r="A32" s="40" t="s">
        <v>51</v>
      </c>
      <c r="B32" s="41" t="s">
        <v>39</v>
      </c>
      <c r="C32" s="42">
        <v>59067.066700000003</v>
      </c>
      <c r="D32" s="42" t="s">
        <v>52</v>
      </c>
      <c r="E32">
        <f t="shared" si="6"/>
        <v>15854.231346899227</v>
      </c>
      <c r="F32" s="43">
        <f>ROUND(2*E32,0)/2+1</f>
        <v>15855</v>
      </c>
      <c r="G32">
        <f t="shared" si="7"/>
        <v>-0.31730000000243308</v>
      </c>
      <c r="K32">
        <f>+G32</f>
        <v>-0.31730000000243308</v>
      </c>
      <c r="O32">
        <f t="shared" ca="1" si="8"/>
        <v>-0.32719541395117663</v>
      </c>
      <c r="Q32" s="2">
        <f t="shared" si="9"/>
        <v>44048.566700000003</v>
      </c>
    </row>
    <row r="33" spans="1:17">
      <c r="A33" s="44" t="s">
        <v>54</v>
      </c>
      <c r="B33" s="45" t="s">
        <v>39</v>
      </c>
      <c r="C33" s="46">
        <v>59784.069000000134</v>
      </c>
      <c r="D33" s="6"/>
      <c r="E33">
        <f t="shared" ref="E33:E34" si="10">+(C33-C$7)/C$8</f>
        <v>17591.155523256133</v>
      </c>
      <c r="F33" s="43">
        <f t="shared" ref="F33:F34" si="11">ROUND(2*E33,0)/2+1</f>
        <v>17592</v>
      </c>
      <c r="G33">
        <f t="shared" ref="G33:G34" si="12">+C33-(C$7+F33*C$8)</f>
        <v>-0.34859999986656476</v>
      </c>
      <c r="K33">
        <f t="shared" ref="K33:K34" si="13">+G33</f>
        <v>-0.34859999986656476</v>
      </c>
      <c r="O33">
        <f t="shared" ref="O33:O34" ca="1" si="14">+C$11+C$12*$F33</f>
        <v>-0.36059552214273172</v>
      </c>
      <c r="Q33" s="2">
        <f t="shared" ref="Q33:Q34" si="15">+C33-15018.5</f>
        <v>44765.569000000134</v>
      </c>
    </row>
    <row r="34" spans="1:17">
      <c r="A34" s="44" t="s">
        <v>54</v>
      </c>
      <c r="B34" s="45" t="s">
        <v>38</v>
      </c>
      <c r="C34" s="46">
        <v>59785.046000000089</v>
      </c>
      <c r="D34" s="6"/>
      <c r="E34">
        <f t="shared" si="10"/>
        <v>17593.522286821917</v>
      </c>
      <c r="F34" s="43">
        <f t="shared" si="11"/>
        <v>17594.5</v>
      </c>
      <c r="G34">
        <f t="shared" si="12"/>
        <v>-0.40359999991051154</v>
      </c>
      <c r="K34">
        <f t="shared" si="13"/>
        <v>-0.40359999991051154</v>
      </c>
      <c r="O34">
        <f t="shared" ca="1" si="14"/>
        <v>-0.36064359368589743</v>
      </c>
      <c r="Q34" s="2">
        <f t="shared" si="15"/>
        <v>44766.546000000089</v>
      </c>
    </row>
    <row r="35" spans="1:17">
      <c r="D35" s="6"/>
    </row>
    <row r="36" spans="1:17">
      <c r="D36" s="6"/>
    </row>
    <row r="37" spans="1:17">
      <c r="D37" s="6"/>
    </row>
    <row r="38" spans="1:17">
      <c r="D38" s="6"/>
    </row>
    <row r="39" spans="1:17">
      <c r="D39" s="6"/>
    </row>
    <row r="40" spans="1:17">
      <c r="D40" s="6"/>
    </row>
    <row r="41" spans="1:17">
      <c r="D41" s="6"/>
    </row>
    <row r="42" spans="1:17">
      <c r="D42" s="6"/>
    </row>
    <row r="43" spans="1:17">
      <c r="D43" s="6"/>
    </row>
    <row r="44" spans="1:17">
      <c r="D44" s="6"/>
    </row>
    <row r="45" spans="1:17">
      <c r="D45" s="6"/>
    </row>
    <row r="46" spans="1:17">
      <c r="D46" s="6"/>
    </row>
    <row r="47" spans="1:17">
      <c r="D47" s="6"/>
    </row>
    <row r="48" spans="1:17">
      <c r="D48" s="6"/>
    </row>
    <row r="49" spans="4:4">
      <c r="D49" s="6"/>
    </row>
    <row r="50" spans="4:4">
      <c r="D50" s="6"/>
    </row>
    <row r="51" spans="4:4">
      <c r="D51" s="6"/>
    </row>
    <row r="52" spans="4:4">
      <c r="D52" s="6"/>
    </row>
  </sheetData>
  <protectedRanges>
    <protectedRange sqref="A30:D32" name="Range1"/>
  </protectedRanges>
  <phoneticPr fontId="7" type="noConversion"/>
  <hyperlinks>
    <hyperlink ref="H3357" r:id="rId1" display="http://vsolj.cetus-net.org/bulletin.html"/>
    <hyperlink ref="H64983" r:id="rId2" display="http://vsolj.cetus-net.org/bulletin.html"/>
    <hyperlink ref="H64976" r:id="rId3" display="https://www.aavso.org/ejaavso"/>
    <hyperlink ref="I64983" r:id="rId4" display="http://vsolj.cetus-net.org/bulletin.html"/>
    <hyperlink ref="AQ58634" r:id="rId5" display="http://cdsbib.u-strasbg.fr/cgi-bin/cdsbib?1990RMxAA..21..381G"/>
    <hyperlink ref="H64980" r:id="rId6" display="https://www.aavso.org/ejaavso"/>
    <hyperlink ref="AP5998" r:id="rId7" display="http://cdsbib.u-strasbg.fr/cgi-bin/cdsbib?1990RMxAA..21..381G"/>
    <hyperlink ref="AP6001" r:id="rId8" display="http://cdsbib.u-strasbg.fr/cgi-bin/cdsbib?1990RMxAA..21..381G"/>
    <hyperlink ref="AP5999" r:id="rId9" display="http://cdsbib.u-strasbg.fr/cgi-bin/cdsbib?1990RMxAA..21..381G"/>
    <hyperlink ref="AP5983" r:id="rId10" display="http://cdsbib.u-strasbg.fr/cgi-bin/cdsbib?1990RMxAA..21..381G"/>
    <hyperlink ref="AQ6212" r:id="rId11" display="http://cdsbib.u-strasbg.fr/cgi-bin/cdsbib?1990RMxAA..21..381G"/>
    <hyperlink ref="AQ6216" r:id="rId12" display="http://cdsbib.u-strasbg.fr/cgi-bin/cdsbib?1990RMxAA..21..381G"/>
    <hyperlink ref="AQ360" r:id="rId13" display="http://cdsbib.u-strasbg.fr/cgi-bin/cdsbib?1990RMxAA..21..381G"/>
    <hyperlink ref="I3104" r:id="rId14" display="http://vsolj.cetus-net.org/bulletin.html"/>
    <hyperlink ref="H3104" r:id="rId15" display="http://vsolj.cetus-net.org/bulletin.html"/>
    <hyperlink ref="AQ1021" r:id="rId16" display="http://cdsbib.u-strasbg.fr/cgi-bin/cdsbib?1990RMxAA..21..381G"/>
    <hyperlink ref="AQ1020" r:id="rId17" display="http://cdsbib.u-strasbg.fr/cgi-bin/cdsbib?1990RMxAA..21..381G"/>
    <hyperlink ref="AP4274" r:id="rId18" display="http://cdsbib.u-strasbg.fr/cgi-bin/cdsbib?1990RMxAA..21..381G"/>
    <hyperlink ref="AP4292" r:id="rId19" display="http://cdsbib.u-strasbg.fr/cgi-bin/cdsbib?1990RMxAA..21..381G"/>
    <hyperlink ref="AP4293" r:id="rId20" display="http://cdsbib.u-strasbg.fr/cgi-bin/cdsbib?1990RMxAA..21..381G"/>
    <hyperlink ref="AP4289" r:id="rId21" display="http://cdsbib.u-strasbg.fr/cgi-bin/cdsbib?1990RMxAA..21..381G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2023-08-19T06:09:26Z</dcterms:modified>
</cp:coreProperties>
</file>