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AC5B9C-B91C-4E85-9C33-B76EB2815FF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4" i="1"/>
  <c r="F54" i="1" s="1"/>
  <c r="G54" i="1" s="1"/>
  <c r="K54" i="1" s="1"/>
  <c r="Q54" i="1"/>
  <c r="E55" i="1"/>
  <c r="F55" i="1" s="1"/>
  <c r="G55" i="1" s="1"/>
  <c r="K55" i="1" s="1"/>
  <c r="Q55" i="1"/>
  <c r="Q53" i="1"/>
  <c r="Q52" i="1"/>
  <c r="Q51" i="1"/>
  <c r="Q50" i="1"/>
  <c r="Q49" i="1"/>
  <c r="Q48" i="1"/>
  <c r="Q47" i="1"/>
  <c r="Q44" i="1"/>
  <c r="D9" i="1"/>
  <c r="C9" i="1"/>
  <c r="Q43" i="1"/>
  <c r="Q39" i="1"/>
  <c r="Q34" i="1"/>
  <c r="Q33" i="1"/>
  <c r="Q29" i="1"/>
  <c r="Q26" i="1"/>
  <c r="Q22" i="1"/>
  <c r="G27" i="2"/>
  <c r="C27" i="2"/>
  <c r="G12" i="2"/>
  <c r="C12" i="2"/>
  <c r="G13" i="2"/>
  <c r="C13" i="2"/>
  <c r="G14" i="2"/>
  <c r="C14" i="2"/>
  <c r="G28" i="2"/>
  <c r="C28" i="2"/>
  <c r="G29" i="2"/>
  <c r="C29" i="2"/>
  <c r="G15" i="2"/>
  <c r="C15" i="2"/>
  <c r="G16" i="2"/>
  <c r="C16" i="2"/>
  <c r="G17" i="2"/>
  <c r="C17" i="2"/>
  <c r="G30" i="2"/>
  <c r="C30" i="2"/>
  <c r="G31" i="2"/>
  <c r="C31" i="2"/>
  <c r="G18" i="2"/>
  <c r="C18" i="2"/>
  <c r="G19" i="2"/>
  <c r="C19" i="2"/>
  <c r="G20" i="2"/>
  <c r="C20" i="2"/>
  <c r="G21" i="2"/>
  <c r="C21" i="2"/>
  <c r="G32" i="2"/>
  <c r="C32" i="2"/>
  <c r="G22" i="2"/>
  <c r="C22" i="2"/>
  <c r="G23" i="2"/>
  <c r="C23" i="2"/>
  <c r="G24" i="2"/>
  <c r="C24" i="2"/>
  <c r="G33" i="2"/>
  <c r="C33" i="2"/>
  <c r="G34" i="2"/>
  <c r="C34" i="2"/>
  <c r="G25" i="2"/>
  <c r="C25" i="2"/>
  <c r="G26" i="2"/>
  <c r="C26" i="2"/>
  <c r="G11" i="2"/>
  <c r="C11" i="2"/>
  <c r="H26" i="2"/>
  <c r="D26" i="2"/>
  <c r="B26" i="2"/>
  <c r="A26" i="2"/>
  <c r="H25" i="2"/>
  <c r="D25" i="2"/>
  <c r="B25" i="2"/>
  <c r="A25" i="2"/>
  <c r="H34" i="2"/>
  <c r="D34" i="2"/>
  <c r="B34" i="2"/>
  <c r="A34" i="2"/>
  <c r="H33" i="2"/>
  <c r="D33" i="2"/>
  <c r="B33" i="2"/>
  <c r="A33" i="2"/>
  <c r="H24" i="2"/>
  <c r="D24" i="2"/>
  <c r="B24" i="2"/>
  <c r="A24" i="2"/>
  <c r="H23" i="2"/>
  <c r="D23" i="2"/>
  <c r="B23" i="2"/>
  <c r="A23" i="2"/>
  <c r="H22" i="2"/>
  <c r="D22" i="2"/>
  <c r="B22" i="2"/>
  <c r="A22" i="2"/>
  <c r="H32" i="2"/>
  <c r="D32" i="2"/>
  <c r="B32" i="2"/>
  <c r="A3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31" i="2"/>
  <c r="D31" i="2"/>
  <c r="B31" i="2"/>
  <c r="A31" i="2"/>
  <c r="H30" i="2"/>
  <c r="D30" i="2"/>
  <c r="B30" i="2"/>
  <c r="A30" i="2"/>
  <c r="H17" i="2"/>
  <c r="D17" i="2"/>
  <c r="B17" i="2"/>
  <c r="A17" i="2"/>
  <c r="H16" i="2"/>
  <c r="D16" i="2"/>
  <c r="B16" i="2"/>
  <c r="A16" i="2"/>
  <c r="H15" i="2"/>
  <c r="D15" i="2"/>
  <c r="B15" i="2"/>
  <c r="A15" i="2"/>
  <c r="H29" i="2"/>
  <c r="D29" i="2"/>
  <c r="B29" i="2"/>
  <c r="A29" i="2"/>
  <c r="H28" i="2"/>
  <c r="D28" i="2"/>
  <c r="B28" i="2"/>
  <c r="A28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Q46" i="1"/>
  <c r="Q45" i="1"/>
  <c r="F16" i="1"/>
  <c r="Q42" i="1"/>
  <c r="E53" i="1"/>
  <c r="F53" i="1"/>
  <c r="Q41" i="1"/>
  <c r="Q40" i="1"/>
  <c r="Q38" i="1"/>
  <c r="Q37" i="1"/>
  <c r="Q36" i="1"/>
  <c r="Q35" i="1"/>
  <c r="Q32" i="1"/>
  <c r="Q31" i="1"/>
  <c r="Q30" i="1"/>
  <c r="C17" i="1"/>
  <c r="Q28" i="1"/>
  <c r="Q24" i="1"/>
  <c r="Q27" i="1"/>
  <c r="Q25" i="1"/>
  <c r="Q23" i="1"/>
  <c r="Q21" i="1"/>
  <c r="E20" i="2"/>
  <c r="E11" i="2"/>
  <c r="E12" i="2"/>
  <c r="E27" i="2"/>
  <c r="E39" i="1"/>
  <c r="G33" i="1"/>
  <c r="K33" i="1" s="1"/>
  <c r="E31" i="1"/>
  <c r="E23" i="1"/>
  <c r="F23" i="1"/>
  <c r="E44" i="1"/>
  <c r="F44" i="1"/>
  <c r="G44" i="1" s="1"/>
  <c r="K44" i="1" s="1"/>
  <c r="E36" i="1"/>
  <c r="F36" i="1"/>
  <c r="G36" i="1" s="1"/>
  <c r="K36" i="1" s="1"/>
  <c r="E28" i="1"/>
  <c r="F28" i="1"/>
  <c r="G28" i="1"/>
  <c r="J28" i="1"/>
  <c r="E51" i="1"/>
  <c r="F51" i="1"/>
  <c r="G51" i="1" s="1"/>
  <c r="K51" i="1" s="1"/>
  <c r="E34" i="1"/>
  <c r="E31" i="2" s="1"/>
  <c r="E41" i="1"/>
  <c r="F41" i="1"/>
  <c r="G41" i="1"/>
  <c r="K41" i="1" s="1"/>
  <c r="E33" i="1"/>
  <c r="F33" i="1"/>
  <c r="E25" i="1"/>
  <c r="F25" i="1" s="1"/>
  <c r="G25" i="1" s="1"/>
  <c r="J25" i="1" s="1"/>
  <c r="E48" i="1"/>
  <c r="F48" i="1"/>
  <c r="G48" i="1"/>
  <c r="K48" i="1" s="1"/>
  <c r="E42" i="1"/>
  <c r="F42" i="1"/>
  <c r="G42" i="1"/>
  <c r="K42" i="1" s="1"/>
  <c r="E38" i="1"/>
  <c r="E21" i="2" s="1"/>
  <c r="E30" i="1"/>
  <c r="E22" i="1"/>
  <c r="F22" i="1"/>
  <c r="G22" i="1" s="1"/>
  <c r="J22" i="1" s="1"/>
  <c r="G47" i="1"/>
  <c r="K47" i="1" s="1"/>
  <c r="E21" i="1"/>
  <c r="F21" i="1"/>
  <c r="G21" i="1"/>
  <c r="I21" i="1" s="1"/>
  <c r="E26" i="1"/>
  <c r="E28" i="2" s="1"/>
  <c r="F26" i="1"/>
  <c r="G26" i="1"/>
  <c r="K26" i="1" s="1"/>
  <c r="E46" i="1"/>
  <c r="E43" i="1"/>
  <c r="G37" i="1"/>
  <c r="K37" i="1" s="1"/>
  <c r="E35" i="1"/>
  <c r="F35" i="1"/>
  <c r="G35" i="1"/>
  <c r="K35" i="1" s="1"/>
  <c r="E27" i="1"/>
  <c r="F27" i="1"/>
  <c r="G27" i="1"/>
  <c r="J27" i="1" s="1"/>
  <c r="E50" i="1"/>
  <c r="F50" i="1" s="1"/>
  <c r="G50" i="1" s="1"/>
  <c r="K50" i="1" s="1"/>
  <c r="G53" i="1"/>
  <c r="K53" i="1" s="1"/>
  <c r="E40" i="1"/>
  <c r="E22" i="2" s="1"/>
  <c r="E32" i="1"/>
  <c r="F32" i="1" s="1"/>
  <c r="G32" i="1" s="1"/>
  <c r="K32" i="1" s="1"/>
  <c r="E24" i="1"/>
  <c r="F24" i="1" s="1"/>
  <c r="G24" i="1" s="1"/>
  <c r="I24" i="1" s="1"/>
  <c r="E47" i="1"/>
  <c r="F47" i="1"/>
  <c r="E49" i="1"/>
  <c r="F49" i="1" s="1"/>
  <c r="G49" i="1" s="1"/>
  <c r="K49" i="1" s="1"/>
  <c r="E45" i="1"/>
  <c r="F45" i="1"/>
  <c r="R45" i="1"/>
  <c r="E37" i="1"/>
  <c r="F37" i="1"/>
  <c r="E29" i="1"/>
  <c r="F29" i="1"/>
  <c r="G29" i="1" s="1"/>
  <c r="K29" i="1" s="1"/>
  <c r="G23" i="1"/>
  <c r="J23" i="1"/>
  <c r="E52" i="1"/>
  <c r="F52" i="1"/>
  <c r="G52" i="1" s="1"/>
  <c r="K52" i="1" s="1"/>
  <c r="F39" i="1"/>
  <c r="G39" i="1" s="1"/>
  <c r="K39" i="1" s="1"/>
  <c r="E32" i="2"/>
  <c r="E25" i="2"/>
  <c r="E18" i="2"/>
  <c r="E24" i="2"/>
  <c r="F43" i="1"/>
  <c r="G43" i="1"/>
  <c r="K43" i="1" s="1"/>
  <c r="E33" i="2"/>
  <c r="E29" i="2"/>
  <c r="E19" i="2"/>
  <c r="E16" i="2"/>
  <c r="F31" i="1"/>
  <c r="G31" i="1"/>
  <c r="K31" i="1" s="1"/>
  <c r="F30" i="1"/>
  <c r="G30" i="1"/>
  <c r="K30" i="1" s="1"/>
  <c r="E15" i="2"/>
  <c r="F46" i="1"/>
  <c r="R46" i="1"/>
  <c r="E26" i="2"/>
  <c r="F38" i="1"/>
  <c r="G38" i="1" s="1"/>
  <c r="K38" i="1" s="1"/>
  <c r="E34" i="2"/>
  <c r="E23" i="2"/>
  <c r="E30" i="2"/>
  <c r="E17" i="2" l="1"/>
  <c r="E13" i="2"/>
  <c r="E14" i="2"/>
  <c r="F40" i="1"/>
  <c r="G40" i="1" s="1"/>
  <c r="K40" i="1" s="1"/>
  <c r="F34" i="1"/>
  <c r="G34" i="1" s="1"/>
  <c r="F17" i="1"/>
  <c r="C12" i="1"/>
  <c r="C11" i="1"/>
  <c r="O50" i="1" l="1"/>
  <c r="C15" i="1"/>
  <c r="O44" i="1"/>
  <c r="O22" i="1"/>
  <c r="O45" i="1"/>
  <c r="O41" i="1"/>
  <c r="O23" i="1"/>
  <c r="O56" i="1"/>
  <c r="O55" i="1"/>
  <c r="O29" i="1"/>
  <c r="O24" i="1"/>
  <c r="O27" i="1"/>
  <c r="O39" i="1"/>
  <c r="O32" i="1"/>
  <c r="O40" i="1"/>
  <c r="O47" i="1"/>
  <c r="O48" i="1"/>
  <c r="O25" i="1"/>
  <c r="O21" i="1"/>
  <c r="O31" i="1"/>
  <c r="O46" i="1"/>
  <c r="O34" i="1"/>
  <c r="O42" i="1"/>
  <c r="O30" i="1"/>
  <c r="O33" i="1"/>
  <c r="O35" i="1"/>
  <c r="O37" i="1"/>
  <c r="O28" i="1"/>
  <c r="O53" i="1"/>
  <c r="O49" i="1"/>
  <c r="O26" i="1"/>
  <c r="O38" i="1"/>
  <c r="O54" i="1"/>
  <c r="O52" i="1"/>
  <c r="O43" i="1"/>
  <c r="O36" i="1"/>
  <c r="O51" i="1"/>
  <c r="C16" i="1"/>
  <c r="D18" i="1" s="1"/>
  <c r="K34" i="1"/>
  <c r="F18" i="1" l="1"/>
  <c r="F19" i="1" s="1"/>
  <c r="C18" i="1"/>
</calcChain>
</file>

<file path=xl/sharedStrings.xml><?xml version="1.0" encoding="utf-8"?>
<sst xmlns="http://schemas.openxmlformats.org/spreadsheetml/2006/main" count="347" uniqueCount="189">
  <si>
    <t>OEJV 0191</t>
  </si>
  <si>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</si>
  <si>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</si>
  <si>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</si>
  <si>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</si>
  <si>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</si>
  <si>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</si>
  <si>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</si>
  <si>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</si>
  <si>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</si>
  <si>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</si>
  <si>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</si>
  <si>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</si>
  <si>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</si>
  <si>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</si>
  <si>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</si>
  <si>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</si>
  <si>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</si>
  <si>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</si>
  <si>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</si>
  <si>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</si>
  <si>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</si>
  <si>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</si>
  <si>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</si>
  <si>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</si>
  <si>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</si>
  <si>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</si>
  <si>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</si>
  <si>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</t>
  </si>
  <si>
    <t>IBVS 4711</t>
  </si>
  <si>
    <t>VS Bulletin 40</t>
  </si>
  <si>
    <t>VS Bulletin 33</t>
  </si>
  <si>
    <t>VS Bulletin 38</t>
  </si>
  <si>
    <t># of data points:</t>
  </si>
  <si>
    <t>EW/KW</t>
  </si>
  <si>
    <t>EL Aqr /  GSC 05830-00377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</si>
  <si>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</si>
  <si>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</si>
  <si>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</si>
  <si>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</si>
  <si>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</si>
  <si>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</si>
  <si>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</si>
  <si>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II</t>
  </si>
  <si>
    <t>IBVS 5871</t>
  </si>
  <si>
    <t>period checked by ToMcat 2009-02-04</t>
  </si>
  <si>
    <t>Add cycle</t>
  </si>
  <si>
    <t>Old Cycle</t>
  </si>
  <si>
    <t>IBVS 5960</t>
  </si>
  <si>
    <t>IBVS 6042</t>
  </si>
  <si>
    <t>2013-03-07 VSX agrees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</si>
  <si>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</si>
  <si>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</si>
  <si>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</si>
  <si>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</si>
  <si>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</si>
  <si>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</si>
  <si>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</si>
  <si>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</si>
  <si>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</si>
  <si>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</si>
  <si>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</si>
  <si>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</si>
  <si>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2439486.642 </t>
  </si>
  <si>
    <t> 27.12.1966 03:24 </t>
  </si>
  <si>
    <t> -0.024 </t>
  </si>
  <si>
    <t>E </t>
  </si>
  <si>
    <t>?</t>
  </si>
  <si>
    <t> K.Stepien </t>
  </si>
  <si>
    <t> PASP 80.221 </t>
  </si>
  <si>
    <t>2450420.907 </t>
  </si>
  <si>
    <t> 03.12.1996 09:46 </t>
  </si>
  <si>
    <t> -0.006 </t>
  </si>
  <si>
    <t>C </t>
  </si>
  <si>
    <t> K.Nagai </t>
  </si>
  <si>
    <t>VSB 47 </t>
  </si>
  <si>
    <t>2451080.4443 </t>
  </si>
  <si>
    <t> 23.09.1998 22:39 </t>
  </si>
  <si>
    <t> 0.0010 </t>
  </si>
  <si>
    <t>o</t>
  </si>
  <si>
    <t> W.Kleikamp </t>
  </si>
  <si>
    <t>BAVM 117 </t>
  </si>
  <si>
    <t>2451137.981 </t>
  </si>
  <si>
    <t> 20.11.1998 11:32 </t>
  </si>
  <si>
    <t> 0.009 </t>
  </si>
  <si>
    <t>2451498.3045 </t>
  </si>
  <si>
    <t> 15.11.1999 19:18 </t>
  </si>
  <si>
    <t> -0.0020 </t>
  </si>
  <si>
    <t>-I</t>
  </si>
  <si>
    <t>BAVM 132 </t>
  </si>
  <si>
    <t>2451809.0542 </t>
  </si>
  <si>
    <t> 21.09.2000 13:18 </t>
  </si>
  <si>
    <t>-1435.5</t>
  </si>
  <si>
    <t> -0.0019 </t>
  </si>
  <si>
    <t> Kiyota </t>
  </si>
  <si>
    <t>VSB 38 </t>
  </si>
  <si>
    <t>2452497.2312 </t>
  </si>
  <si>
    <t> 10.08.2002 17:32 </t>
  </si>
  <si>
    <t>-6</t>
  </si>
  <si>
    <t> 0.0007 </t>
  </si>
  <si>
    <t>VSB 40 </t>
  </si>
  <si>
    <t>2453260.7514 </t>
  </si>
  <si>
    <t> 12.09.2004 06:02 </t>
  </si>
  <si>
    <t>1580</t>
  </si>
  <si>
    <t> 0.0059 </t>
  </si>
  <si>
    <t> W.Ogloza et al. </t>
  </si>
  <si>
    <t>IBVS 5843 </t>
  </si>
  <si>
    <t>2453309.6208 </t>
  </si>
  <si>
    <t> 31.10.2004 02:53 </t>
  </si>
  <si>
    <t>1681.5</t>
  </si>
  <si>
    <t> 0.0122 </t>
  </si>
  <si>
    <t>2453310.5820 </t>
  </si>
  <si>
    <t> 01.11.2004 01:58 </t>
  </si>
  <si>
    <t>1683.5</t>
  </si>
  <si>
    <t> 0.0106 </t>
  </si>
  <si>
    <t>2453621.0814 </t>
  </si>
  <si>
    <t> 07.09.2005 13:57 </t>
  </si>
  <si>
    <t>2328.5</t>
  </si>
  <si>
    <t> 0.0011 </t>
  </si>
  <si>
    <t>VSB 44 </t>
  </si>
  <si>
    <t>2453972.2687 </t>
  </si>
  <si>
    <t> 24.08.2006 18:26 </t>
  </si>
  <si>
    <t>3058</t>
  </si>
  <si>
    <t> 0.0004 </t>
  </si>
  <si>
    <t> K.Nagai et al. </t>
  </si>
  <si>
    <t>VSB 45 </t>
  </si>
  <si>
    <t>2454004.7676 </t>
  </si>
  <si>
    <t> 26.09.2006 06:25 </t>
  </si>
  <si>
    <t>3125.5</t>
  </si>
  <si>
    <t> 0.0041 </t>
  </si>
  <si>
    <t>2454005.7290 </t>
  </si>
  <si>
    <t> 27.09.2006 05:29 </t>
  </si>
  <si>
    <t>3127.5</t>
  </si>
  <si>
    <t> 0.0027 </t>
  </si>
  <si>
    <t>2454006.6899 </t>
  </si>
  <si>
    <t> 28.09.2006 04:33 </t>
  </si>
  <si>
    <t>3129.5</t>
  </si>
  <si>
    <t> 0.0008 </t>
  </si>
  <si>
    <t>2454011.7441 </t>
  </si>
  <si>
    <t> 03.10.2006 05:51 </t>
  </si>
  <si>
    <t>3140</t>
  </si>
  <si>
    <t> 0.0002 </t>
  </si>
  <si>
    <t>2454023.0604 </t>
  </si>
  <si>
    <t> 14.10.2006 13:26 </t>
  </si>
  <si>
    <t>3163.5</t>
  </si>
  <si>
    <t> 0.0034 </t>
  </si>
  <si>
    <t> K. Nagai et al. </t>
  </si>
  <si>
    <t>2454028.5967 </t>
  </si>
  <si>
    <t> 20.10.2006 02:19 </t>
  </si>
  <si>
    <t>3175</t>
  </si>
  <si>
    <t> 0.0035 </t>
  </si>
  <si>
    <t>2454038.6943 </t>
  </si>
  <si>
    <t> 30.10.2006 04:39 </t>
  </si>
  <si>
    <t>3196</t>
  </si>
  <si>
    <t> -0.0085 </t>
  </si>
  <si>
    <t>2454769.726 </t>
  </si>
  <si>
    <t> 30.10.2008 05:25 </t>
  </si>
  <si>
    <t>4714.5</t>
  </si>
  <si>
    <t> 0.003 </t>
  </si>
  <si>
    <t> R.Diethelm </t>
  </si>
  <si>
    <t>IBVS 5871 </t>
  </si>
  <si>
    <t>2454775.0296 </t>
  </si>
  <si>
    <t> 04.11.2008 12:42 </t>
  </si>
  <si>
    <t>4725.5</t>
  </si>
  <si>
    <t> 0.0114 </t>
  </si>
  <si>
    <t>Ic</t>
  </si>
  <si>
    <t> K.Nakajima </t>
  </si>
  <si>
    <t>VSB 48 </t>
  </si>
  <si>
    <t>2455138.9713 </t>
  </si>
  <si>
    <t> 03.11.2009 11:18 </t>
  </si>
  <si>
    <t>5481.5</t>
  </si>
  <si>
    <t> 0.0078 </t>
  </si>
  <si>
    <t>Rc</t>
  </si>
  <si>
    <t>VSB 50 </t>
  </si>
  <si>
    <t>2455506.6662 </t>
  </si>
  <si>
    <t> 06.11.2010 03:59 </t>
  </si>
  <si>
    <t>6245</t>
  </si>
  <si>
    <t> 0.1467 </t>
  </si>
  <si>
    <t>IBVS 5960 </t>
  </si>
  <si>
    <t>2456239.7331 </t>
  </si>
  <si>
    <t> 08.11.2012 05:35 </t>
  </si>
  <si>
    <t>7768</t>
  </si>
  <si>
    <t> 0.0274 </t>
  </si>
  <si>
    <t>IBVS 6042 </t>
  </si>
  <si>
    <t>s5</t>
  </si>
  <si>
    <t>s6</t>
  </si>
  <si>
    <t>s7</t>
  </si>
  <si>
    <t>VSB, 91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</si>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</sst>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5" fillId="0" borderId="0" xfId="0" quotePrefix="1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0629370629370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E-4185-80A0-2C1F7A899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E-4185-80A0-2C1F7A899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E-4185-80A0-2C1F7A899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  <c:pt idx="35">
                  <c:v>0.10079999999288702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E-4185-80A0-2C1F7A899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6E-4185-80A0-2C1F7A899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E-4185-80A0-2C1F7A899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6E-4185-80A0-2C1F7A899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-0.13107722203380653</c:v>
                </c:pt>
                <c:pt idx="1">
                  <c:v>-2.3243162464667316E-2</c:v>
                </c:pt>
                <c:pt idx="2">
                  <c:v>-1.6738840639733535E-2</c:v>
                </c:pt>
                <c:pt idx="3">
                  <c:v>-1.6171492860113407E-2</c:v>
                </c:pt>
                <c:pt idx="4">
                  <c:v>-1.2617854257220756E-2</c:v>
                </c:pt>
                <c:pt idx="5">
                  <c:v>-9.5532267112391905E-3</c:v>
                </c:pt>
                <c:pt idx="6">
                  <c:v>-9.5532267112391905E-3</c:v>
                </c:pt>
                <c:pt idx="7">
                  <c:v>-2.7664179165363956E-3</c:v>
                </c:pt>
                <c:pt idx="8">
                  <c:v>-2.7664179165363956E-3</c:v>
                </c:pt>
                <c:pt idx="9">
                  <c:v>4.7634028238613957E-3</c:v>
                </c:pt>
                <c:pt idx="10">
                  <c:v>5.245292360526177E-3</c:v>
                </c:pt>
                <c:pt idx="11">
                  <c:v>5.2547877208545535E-3</c:v>
                </c:pt>
                <c:pt idx="12">
                  <c:v>8.317041426754046E-3</c:v>
                </c:pt>
                <c:pt idx="13">
                  <c:v>1.1780474106527161E-2</c:v>
                </c:pt>
                <c:pt idx="14">
                  <c:v>1.2100942517609653E-2</c:v>
                </c:pt>
                <c:pt idx="15">
                  <c:v>1.211043787793803E-2</c:v>
                </c:pt>
                <c:pt idx="16">
                  <c:v>1.2119933238266406E-2</c:v>
                </c:pt>
                <c:pt idx="17">
                  <c:v>1.2169783879990348E-2</c:v>
                </c:pt>
                <c:pt idx="18">
                  <c:v>1.2281354363848695E-2</c:v>
                </c:pt>
                <c:pt idx="19">
                  <c:v>1.233595268573684E-2</c:v>
                </c:pt>
                <c:pt idx="20">
                  <c:v>1.2435653969184723E-2</c:v>
                </c:pt>
                <c:pt idx="21">
                  <c:v>1.9645006298499995E-2</c:v>
                </c:pt>
                <c:pt idx="22">
                  <c:v>1.9697230780306052E-2</c:v>
                </c:pt>
                <c:pt idx="23">
                  <c:v>2.3286476984430066E-2</c:v>
                </c:pt>
                <c:pt idx="24">
                  <c:v>2.6913704629867585E-2</c:v>
                </c:pt>
                <c:pt idx="25">
                  <c:v>3.414204767983961E-2</c:v>
                </c:pt>
                <c:pt idx="26">
                  <c:v>3.0116014900610527E-2</c:v>
                </c:pt>
                <c:pt idx="27">
                  <c:v>3.0144500981595657E-2</c:v>
                </c:pt>
                <c:pt idx="28">
                  <c:v>3.0153996341924005E-2</c:v>
                </c:pt>
                <c:pt idx="29">
                  <c:v>3.0203846983647975E-2</c:v>
                </c:pt>
                <c:pt idx="30">
                  <c:v>3.0332034348080961E-2</c:v>
                </c:pt>
                <c:pt idx="31">
                  <c:v>3.0341529708409337E-2</c:v>
                </c:pt>
                <c:pt idx="32">
                  <c:v>5.1910240694302862E-2</c:v>
                </c:pt>
                <c:pt idx="33">
                  <c:v>6.5851803496432798E-2</c:v>
                </c:pt>
                <c:pt idx="34">
                  <c:v>6.6324197672769231E-2</c:v>
                </c:pt>
                <c:pt idx="35">
                  <c:v>6.6568703201224766E-2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E-4185-80A0-2C1F7A89950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6E-4185-80A0-2C1F7A89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6936"/>
        <c:axId val="1"/>
      </c:scatterChart>
      <c:valAx>
        <c:axId val="85396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048951048951"/>
          <c:y val="0.92024539877300615"/>
          <c:w val="0.819930069930069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17282983606106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5-4DB8-A2CD-BA329FA61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5-4DB8-A2CD-BA329FA61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5-4DB8-A2CD-BA329FA61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  <c:pt idx="35">
                  <c:v>0.10079999999288702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5-4DB8-A2CD-BA329FA61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5-4DB8-A2CD-BA329FA61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5-4DB8-A2CD-BA329FA61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5-4DB8-A2CD-BA329FA61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-0.13107722203380653</c:v>
                </c:pt>
                <c:pt idx="1">
                  <c:v>-2.3243162464667316E-2</c:v>
                </c:pt>
                <c:pt idx="2">
                  <c:v>-1.6738840639733535E-2</c:v>
                </c:pt>
                <c:pt idx="3">
                  <c:v>-1.6171492860113407E-2</c:v>
                </c:pt>
                <c:pt idx="4">
                  <c:v>-1.2617854257220756E-2</c:v>
                </c:pt>
                <c:pt idx="5">
                  <c:v>-9.5532267112391905E-3</c:v>
                </c:pt>
                <c:pt idx="6">
                  <c:v>-9.5532267112391905E-3</c:v>
                </c:pt>
                <c:pt idx="7">
                  <c:v>-2.7664179165363956E-3</c:v>
                </c:pt>
                <c:pt idx="8">
                  <c:v>-2.7664179165363956E-3</c:v>
                </c:pt>
                <c:pt idx="9">
                  <c:v>4.7634028238613957E-3</c:v>
                </c:pt>
                <c:pt idx="10">
                  <c:v>5.245292360526177E-3</c:v>
                </c:pt>
                <c:pt idx="11">
                  <c:v>5.2547877208545535E-3</c:v>
                </c:pt>
                <c:pt idx="12">
                  <c:v>8.317041426754046E-3</c:v>
                </c:pt>
                <c:pt idx="13">
                  <c:v>1.1780474106527161E-2</c:v>
                </c:pt>
                <c:pt idx="14">
                  <c:v>1.2100942517609653E-2</c:v>
                </c:pt>
                <c:pt idx="15">
                  <c:v>1.211043787793803E-2</c:v>
                </c:pt>
                <c:pt idx="16">
                  <c:v>1.2119933238266406E-2</c:v>
                </c:pt>
                <c:pt idx="17">
                  <c:v>1.2169783879990348E-2</c:v>
                </c:pt>
                <c:pt idx="18">
                  <c:v>1.2281354363848695E-2</c:v>
                </c:pt>
                <c:pt idx="19">
                  <c:v>1.233595268573684E-2</c:v>
                </c:pt>
                <c:pt idx="20">
                  <c:v>1.2435653969184723E-2</c:v>
                </c:pt>
                <c:pt idx="21">
                  <c:v>1.9645006298499995E-2</c:v>
                </c:pt>
                <c:pt idx="22">
                  <c:v>1.9697230780306052E-2</c:v>
                </c:pt>
                <c:pt idx="23">
                  <c:v>2.3286476984430066E-2</c:v>
                </c:pt>
                <c:pt idx="24">
                  <c:v>2.6913704629867585E-2</c:v>
                </c:pt>
                <c:pt idx="25">
                  <c:v>3.414204767983961E-2</c:v>
                </c:pt>
                <c:pt idx="26">
                  <c:v>3.0116014900610527E-2</c:v>
                </c:pt>
                <c:pt idx="27">
                  <c:v>3.0144500981595657E-2</c:v>
                </c:pt>
                <c:pt idx="28">
                  <c:v>3.0153996341924005E-2</c:v>
                </c:pt>
                <c:pt idx="29">
                  <c:v>3.0203846983647975E-2</c:v>
                </c:pt>
                <c:pt idx="30">
                  <c:v>3.0332034348080961E-2</c:v>
                </c:pt>
                <c:pt idx="31">
                  <c:v>3.0341529708409337E-2</c:v>
                </c:pt>
                <c:pt idx="32">
                  <c:v>5.1910240694302862E-2</c:v>
                </c:pt>
                <c:pt idx="33">
                  <c:v>6.5851803496432798E-2</c:v>
                </c:pt>
                <c:pt idx="34">
                  <c:v>6.6324197672769231E-2</c:v>
                </c:pt>
                <c:pt idx="35">
                  <c:v>6.6568703201224766E-2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5-4DB8-A2CD-BA329FA617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  <c:pt idx="35">
                  <c:v>41630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5-4DB8-A2CD-BA329FA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4632"/>
        <c:axId val="1"/>
      </c:scatterChart>
      <c:valAx>
        <c:axId val="853944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9704186191386"/>
          <c:y val="0.9204921861831491"/>
          <c:w val="0.818500593185014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114300</xdr:rowOff>
    </xdr:from>
    <xdr:to>
      <xdr:col>24</xdr:col>
      <xdr:colOff>209550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9EB2E9-580F-F003-0A11-58984652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76200</xdr:rowOff>
    </xdr:from>
    <xdr:to>
      <xdr:col>16</xdr:col>
      <xdr:colOff>47625</xdr:colOff>
      <xdr:row>18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5B3F85-C0FA-C3FA-AA6E-24817458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7109375" customWidth="1"/>
    <col min="2" max="2" width="5.140625" style="5" customWidth="1"/>
    <col min="3" max="3" width="11.85546875" customWidth="1"/>
    <col min="4" max="4" width="9.42578125" customWidth="1"/>
    <col min="5" max="5" width="9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26</v>
      </c>
      <c r="B2" s="11" t="s">
        <v>34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39486.642</v>
      </c>
      <c r="D4" s="4">
        <v>0.48141</v>
      </c>
      <c r="E4" s="30" t="s">
        <v>45</v>
      </c>
    </row>
    <row r="5" spans="1:6" ht="13.5" thickTop="1" x14ac:dyDescent="0.2">
      <c r="A5" s="12" t="s">
        <v>36</v>
      </c>
      <c r="B5" s="10"/>
      <c r="C5" s="13">
        <v>-9.5</v>
      </c>
      <c r="D5" s="10" t="s">
        <v>37</v>
      </c>
      <c r="E5" s="36" t="s">
        <v>50</v>
      </c>
    </row>
    <row r="6" spans="1:6" x14ac:dyDescent="0.2">
      <c r="A6" s="7" t="s">
        <v>3</v>
      </c>
    </row>
    <row r="7" spans="1:6" x14ac:dyDescent="0.2">
      <c r="A7" t="s">
        <v>4</v>
      </c>
      <c r="C7">
        <v>39486.642</v>
      </c>
    </row>
    <row r="8" spans="1:6" x14ac:dyDescent="0.2">
      <c r="A8" t="s">
        <v>5</v>
      </c>
      <c r="C8">
        <v>0.48141</v>
      </c>
    </row>
    <row r="9" spans="1:6" x14ac:dyDescent="0.2">
      <c r="A9" s="26" t="s">
        <v>41</v>
      </c>
      <c r="B9" s="27">
        <v>22</v>
      </c>
      <c r="C9" s="15" t="str">
        <f>"F"&amp;B9</f>
        <v>F22</v>
      </c>
      <c r="D9" s="16" t="str">
        <f>"G"&amp;B9</f>
        <v>G22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INTERCEPT(INDIRECT($D$9):G990,INDIRECT($C$9):F990)</f>
        <v>-0.13107722203380653</v>
      </c>
      <c r="D11" s="5"/>
      <c r="E11" s="10"/>
    </row>
    <row r="12" spans="1:6" x14ac:dyDescent="0.2">
      <c r="A12" s="10" t="s">
        <v>19</v>
      </c>
      <c r="B12" s="10"/>
      <c r="C12" s="14">
        <f ca="1">SLOPE(INDIRECT($D$9):G990,INDIRECT($C$9):F990)</f>
        <v>4.7476801641852342E-6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17" t="s">
        <v>20</v>
      </c>
      <c r="B15" s="10"/>
      <c r="C15" s="18">
        <f ca="1">(C7+C11)+(C8+C12)*INT(MAX(F21:F3531))</f>
        <v>59527.806868703206</v>
      </c>
      <c r="E15" s="19" t="s">
        <v>46</v>
      </c>
      <c r="F15" s="13">
        <v>1</v>
      </c>
    </row>
    <row r="16" spans="1:6" x14ac:dyDescent="0.2">
      <c r="A16" s="21" t="s">
        <v>6</v>
      </c>
      <c r="B16" s="10"/>
      <c r="C16" s="22">
        <f ca="1">+C8+C12</f>
        <v>0.48141474768016418</v>
      </c>
      <c r="E16" s="19" t="s">
        <v>38</v>
      </c>
      <c r="F16" s="20">
        <f ca="1">NOW()+15018.5+$C$5/24</f>
        <v>60163.513509490738</v>
      </c>
    </row>
    <row r="17" spans="1:18" ht="13.5" thickBot="1" x14ac:dyDescent="0.25">
      <c r="A17" s="19" t="s">
        <v>33</v>
      </c>
      <c r="B17" s="10"/>
      <c r="C17" s="10">
        <f>COUNT(C21:C2189)</f>
        <v>36</v>
      </c>
      <c r="E17" s="19" t="s">
        <v>47</v>
      </c>
      <c r="F17" s="20">
        <f ca="1">ROUND(2*(F16-$C$7)/$C$8,0)/2+F15</f>
        <v>42951.5</v>
      </c>
    </row>
    <row r="18" spans="1:18" ht="14.25" thickTop="1" thickBot="1" x14ac:dyDescent="0.25">
      <c r="A18" s="21" t="s">
        <v>7</v>
      </c>
      <c r="B18" s="10"/>
      <c r="C18" s="24">
        <f ca="1">+C15</f>
        <v>59527.806868703206</v>
      </c>
      <c r="D18" s="25">
        <f ca="1">+C16</f>
        <v>0.48141474768016418</v>
      </c>
      <c r="E18" s="19" t="s">
        <v>39</v>
      </c>
      <c r="F18" s="16">
        <f ca="1">ROUND(2*(F16-$C$15)/$C$16,0)/2+F15</f>
        <v>1321.5</v>
      </c>
    </row>
    <row r="19" spans="1:18" ht="13.5" thickTop="1" x14ac:dyDescent="0.2">
      <c r="E19" s="19" t="s">
        <v>40</v>
      </c>
      <c r="F19" s="23">
        <f ca="1">+$C$15+$C$16*F18-15018.5-$C$5/24</f>
        <v>45145.892291095879</v>
      </c>
    </row>
    <row r="20" spans="1:18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184</v>
      </c>
      <c r="M20" s="9" t="s">
        <v>185</v>
      </c>
      <c r="N20" s="9" t="s">
        <v>186</v>
      </c>
      <c r="O20" s="9" t="s">
        <v>25</v>
      </c>
      <c r="P20" s="8" t="s">
        <v>24</v>
      </c>
      <c r="Q20" s="6" t="s">
        <v>17</v>
      </c>
      <c r="R20" s="34" t="s">
        <v>51</v>
      </c>
    </row>
    <row r="21" spans="1:18" x14ac:dyDescent="0.2">
      <c r="A21" t="s">
        <v>14</v>
      </c>
      <c r="C21" s="28">
        <v>39486.642</v>
      </c>
      <c r="D21" s="28" t="s">
        <v>16</v>
      </c>
      <c r="E21">
        <f t="shared" ref="E21:E46" si="0">+(C21-C$7)/C$8</f>
        <v>0</v>
      </c>
      <c r="F21">
        <f t="shared" ref="F21:F53" si="1">ROUND(2*E21,0)/2</f>
        <v>0</v>
      </c>
      <c r="G21">
        <f t="shared" ref="G21:G44" si="2">+C21-(C$7+F21*C$8)</f>
        <v>0</v>
      </c>
      <c r="I21">
        <f>+G21</f>
        <v>0</v>
      </c>
      <c r="O21">
        <f t="shared" ref="O21:O46" ca="1" si="3">+C$11+C$12*$F21</f>
        <v>-0.13107722203380653</v>
      </c>
      <c r="Q21" s="2">
        <f t="shared" ref="Q21:Q46" si="4">+C21-15018.5</f>
        <v>24468.142</v>
      </c>
    </row>
    <row r="22" spans="1:18" x14ac:dyDescent="0.2">
      <c r="A22" s="16" t="s">
        <v>75</v>
      </c>
      <c r="B22" s="5" t="s">
        <v>28</v>
      </c>
      <c r="C22" s="28">
        <v>50420.906999999999</v>
      </c>
      <c r="D22" s="28" t="s">
        <v>62</v>
      </c>
      <c r="E22">
        <f t="shared" si="0"/>
        <v>22712.999314513614</v>
      </c>
      <c r="F22">
        <f t="shared" si="1"/>
        <v>22713</v>
      </c>
      <c r="G22">
        <f t="shared" si="2"/>
        <v>-3.3000000257743523E-4</v>
      </c>
      <c r="J22">
        <f>+G22</f>
        <v>-3.3000000257743523E-4</v>
      </c>
      <c r="O22">
        <f t="shared" ca="1" si="3"/>
        <v>-2.3243162464667316E-2</v>
      </c>
      <c r="Q22" s="2">
        <f t="shared" si="4"/>
        <v>35402.406999999999</v>
      </c>
    </row>
    <row r="23" spans="1:18" x14ac:dyDescent="0.2">
      <c r="A23" t="s">
        <v>29</v>
      </c>
      <c r="B23" s="5" t="s">
        <v>28</v>
      </c>
      <c r="C23" s="28">
        <v>51080.444300000003</v>
      </c>
      <c r="D23" s="28">
        <v>8.0000000000000004E-4</v>
      </c>
      <c r="E23">
        <f t="shared" si="0"/>
        <v>24083.010947009832</v>
      </c>
      <c r="F23">
        <f t="shared" si="1"/>
        <v>24083</v>
      </c>
      <c r="G23">
        <f t="shared" si="2"/>
        <v>5.270000001473818E-3</v>
      </c>
      <c r="J23">
        <f>+G23</f>
        <v>5.270000001473818E-3</v>
      </c>
      <c r="O23">
        <f t="shared" ca="1" si="3"/>
        <v>-1.6738840639733535E-2</v>
      </c>
      <c r="Q23" s="2">
        <f t="shared" si="4"/>
        <v>36061.944300000003</v>
      </c>
    </row>
    <row r="24" spans="1:18" x14ac:dyDescent="0.2">
      <c r="A24" s="10" t="s">
        <v>31</v>
      </c>
      <c r="B24" s="10"/>
      <c r="C24" s="28">
        <v>51137.981</v>
      </c>
      <c r="D24" s="28"/>
      <c r="E24">
        <f t="shared" si="0"/>
        <v>24202.527990694001</v>
      </c>
      <c r="F24">
        <f t="shared" si="1"/>
        <v>24202.5</v>
      </c>
      <c r="G24">
        <f t="shared" si="2"/>
        <v>1.3474999999743886E-2</v>
      </c>
      <c r="I24">
        <f>+G24</f>
        <v>1.3474999999743886E-2</v>
      </c>
      <c r="O24">
        <f t="shared" ca="1" si="3"/>
        <v>-1.6171492860113407E-2</v>
      </c>
      <c r="Q24" s="2">
        <f t="shared" si="4"/>
        <v>36119.481</v>
      </c>
    </row>
    <row r="25" spans="1:18" x14ac:dyDescent="0.2">
      <c r="A25" t="s">
        <v>27</v>
      </c>
      <c r="B25" s="5" t="s">
        <v>28</v>
      </c>
      <c r="C25" s="28">
        <v>51498.304499999998</v>
      </c>
      <c r="D25" s="28">
        <v>8.9999999999999998E-4</v>
      </c>
      <c r="E25">
        <f t="shared" si="0"/>
        <v>24951.003302798028</v>
      </c>
      <c r="F25">
        <f t="shared" si="1"/>
        <v>24951</v>
      </c>
      <c r="G25">
        <f t="shared" si="2"/>
        <v>1.5899999998509884E-3</v>
      </c>
      <c r="J25">
        <f>+G25</f>
        <v>1.5899999998509884E-3</v>
      </c>
      <c r="O25">
        <f t="shared" ca="1" si="3"/>
        <v>-1.2617854257220756E-2</v>
      </c>
      <c r="Q25" s="2">
        <f t="shared" si="4"/>
        <v>36479.804499999998</v>
      </c>
    </row>
    <row r="26" spans="1:18" x14ac:dyDescent="0.2">
      <c r="A26" s="16" t="s">
        <v>95</v>
      </c>
      <c r="B26" s="5" t="s">
        <v>43</v>
      </c>
      <c r="C26" s="28">
        <v>51809.054199999999</v>
      </c>
      <c r="D26" s="28" t="s">
        <v>62</v>
      </c>
      <c r="E26">
        <f t="shared" si="0"/>
        <v>25596.502357657711</v>
      </c>
      <c r="F26">
        <f t="shared" si="1"/>
        <v>25596.5</v>
      </c>
      <c r="G26">
        <f t="shared" si="2"/>
        <v>1.1349999986123294E-3</v>
      </c>
      <c r="K26">
        <f>+G26</f>
        <v>1.1349999986123294E-3</v>
      </c>
      <c r="O26">
        <f t="shared" ca="1" si="3"/>
        <v>-9.5532267112391905E-3</v>
      </c>
      <c r="Q26" s="2">
        <f t="shared" si="4"/>
        <v>36790.554199999999</v>
      </c>
    </row>
    <row r="27" spans="1:18" x14ac:dyDescent="0.2">
      <c r="A27" s="10" t="s">
        <v>32</v>
      </c>
      <c r="B27" s="10"/>
      <c r="C27" s="28">
        <v>51809.05420000013</v>
      </c>
      <c r="D27" s="28"/>
      <c r="E27">
        <f t="shared" si="0"/>
        <v>25596.502357657984</v>
      </c>
      <c r="F27">
        <f t="shared" si="1"/>
        <v>25596.5</v>
      </c>
      <c r="G27">
        <f t="shared" si="2"/>
        <v>1.1350001295795664E-3</v>
      </c>
      <c r="J27">
        <f>+G27</f>
        <v>1.1350001295795664E-3</v>
      </c>
      <c r="O27">
        <f t="shared" ca="1" si="3"/>
        <v>-9.5532267112391905E-3</v>
      </c>
      <c r="Q27" s="2">
        <f t="shared" si="4"/>
        <v>36790.55420000013</v>
      </c>
    </row>
    <row r="28" spans="1:18" x14ac:dyDescent="0.2">
      <c r="A28" s="31" t="s">
        <v>30</v>
      </c>
      <c r="B28" s="31"/>
      <c r="C28" s="32">
        <v>52497.231199999806</v>
      </c>
      <c r="D28" s="28"/>
      <c r="E28">
        <f t="shared" si="0"/>
        <v>27026.005276167518</v>
      </c>
      <c r="F28">
        <f t="shared" si="1"/>
        <v>27026</v>
      </c>
      <c r="G28">
        <f t="shared" si="2"/>
        <v>2.5399998048669659E-3</v>
      </c>
      <c r="J28">
        <f>+G28</f>
        <v>2.5399998048669659E-3</v>
      </c>
      <c r="O28">
        <f t="shared" ca="1" si="3"/>
        <v>-2.7664179165363956E-3</v>
      </c>
      <c r="Q28" s="2">
        <f t="shared" si="4"/>
        <v>37478.731199999806</v>
      </c>
    </row>
    <row r="29" spans="1:18" x14ac:dyDescent="0.2">
      <c r="A29" s="16" t="s">
        <v>100</v>
      </c>
      <c r="B29" s="5" t="s">
        <v>28</v>
      </c>
      <c r="C29" s="28">
        <v>52497.231200000002</v>
      </c>
      <c r="D29" s="28" t="s">
        <v>62</v>
      </c>
      <c r="E29">
        <f t="shared" si="0"/>
        <v>27026.005276167929</v>
      </c>
      <c r="F29">
        <f t="shared" si="1"/>
        <v>27026</v>
      </c>
      <c r="G29">
        <f t="shared" si="2"/>
        <v>2.5400000013178214E-3</v>
      </c>
      <c r="K29">
        <f t="shared" ref="K29:K44" si="5">+G29</f>
        <v>2.5400000013178214E-3</v>
      </c>
      <c r="O29">
        <f t="shared" ca="1" si="3"/>
        <v>-2.7664179165363956E-3</v>
      </c>
      <c r="Q29" s="2">
        <f t="shared" si="4"/>
        <v>37478.731200000002</v>
      </c>
    </row>
    <row r="30" spans="1:18" x14ac:dyDescent="0.2">
      <c r="A30" s="35" t="s">
        <v>42</v>
      </c>
      <c r="B30" s="33" t="s">
        <v>28</v>
      </c>
      <c r="C30" s="32">
        <v>53260.751400000001</v>
      </c>
      <c r="D30" s="29">
        <v>1.1999999999999999E-3</v>
      </c>
      <c r="E30">
        <f t="shared" si="0"/>
        <v>28612.013460459901</v>
      </c>
      <c r="F30">
        <f t="shared" si="1"/>
        <v>28612</v>
      </c>
      <c r="G30">
        <f t="shared" si="2"/>
        <v>6.4800000036484562E-3</v>
      </c>
      <c r="K30">
        <f t="shared" si="5"/>
        <v>6.4800000036484562E-3</v>
      </c>
      <c r="O30">
        <f t="shared" ca="1" si="3"/>
        <v>4.7634028238613957E-3</v>
      </c>
      <c r="Q30" s="2">
        <f t="shared" si="4"/>
        <v>38242.251400000001</v>
      </c>
    </row>
    <row r="31" spans="1:18" x14ac:dyDescent="0.2">
      <c r="A31" s="35" t="s">
        <v>42</v>
      </c>
      <c r="B31" s="33" t="s">
        <v>43</v>
      </c>
      <c r="C31" s="32">
        <v>53309.620799999997</v>
      </c>
      <c r="D31" s="29">
        <v>2.8E-3</v>
      </c>
      <c r="E31">
        <f t="shared" si="0"/>
        <v>28713.526515859656</v>
      </c>
      <c r="F31">
        <f t="shared" si="1"/>
        <v>28713.5</v>
      </c>
      <c r="G31">
        <f t="shared" si="2"/>
        <v>1.2764999999490101E-2</v>
      </c>
      <c r="K31">
        <f t="shared" si="5"/>
        <v>1.2764999999490101E-2</v>
      </c>
      <c r="O31">
        <f t="shared" ca="1" si="3"/>
        <v>5.245292360526177E-3</v>
      </c>
      <c r="Q31" s="2">
        <f t="shared" si="4"/>
        <v>38291.120799999997</v>
      </c>
    </row>
    <row r="32" spans="1:18" x14ac:dyDescent="0.2">
      <c r="A32" s="35" t="s">
        <v>42</v>
      </c>
      <c r="B32" s="33" t="s">
        <v>43</v>
      </c>
      <c r="C32" s="32">
        <v>53310.582000000002</v>
      </c>
      <c r="D32" s="29">
        <v>1.6000000000000001E-3</v>
      </c>
      <c r="E32">
        <f t="shared" si="0"/>
        <v>28715.523150744692</v>
      </c>
      <c r="F32">
        <f t="shared" si="1"/>
        <v>28715.5</v>
      </c>
      <c r="G32">
        <f t="shared" si="2"/>
        <v>1.1145000004034955E-2</v>
      </c>
      <c r="K32">
        <f t="shared" si="5"/>
        <v>1.1145000004034955E-2</v>
      </c>
      <c r="O32">
        <f t="shared" ca="1" si="3"/>
        <v>5.2547877208545535E-3</v>
      </c>
      <c r="Q32" s="2">
        <f t="shared" si="4"/>
        <v>38292.082000000002</v>
      </c>
    </row>
    <row r="33" spans="1:18" x14ac:dyDescent="0.2">
      <c r="A33" s="16" t="s">
        <v>119</v>
      </c>
      <c r="B33" s="5" t="s">
        <v>43</v>
      </c>
      <c r="C33" s="28">
        <v>53621.081400000003</v>
      </c>
      <c r="D33" s="28" t="s">
        <v>62</v>
      </c>
      <c r="E33">
        <f t="shared" si="0"/>
        <v>29360.502274568462</v>
      </c>
      <c r="F33">
        <f t="shared" si="1"/>
        <v>29360.5</v>
      </c>
      <c r="G33">
        <f t="shared" si="2"/>
        <v>1.095000006898772E-3</v>
      </c>
      <c r="K33">
        <f t="shared" si="5"/>
        <v>1.095000006898772E-3</v>
      </c>
      <c r="O33">
        <f t="shared" ca="1" si="3"/>
        <v>8.317041426754046E-3</v>
      </c>
      <c r="Q33" s="2">
        <f t="shared" si="4"/>
        <v>38602.581400000003</v>
      </c>
    </row>
    <row r="34" spans="1:18" x14ac:dyDescent="0.2">
      <c r="A34" s="16" t="s">
        <v>125</v>
      </c>
      <c r="B34" s="5" t="s">
        <v>28</v>
      </c>
      <c r="C34" s="28">
        <v>53972.268700000001</v>
      </c>
      <c r="D34" s="28" t="s">
        <v>62</v>
      </c>
      <c r="E34">
        <f t="shared" si="0"/>
        <v>30089.999584553709</v>
      </c>
      <c r="F34">
        <f t="shared" si="1"/>
        <v>30090</v>
      </c>
      <c r="G34">
        <f t="shared" si="2"/>
        <v>-1.9999999494757503E-4</v>
      </c>
      <c r="K34">
        <f t="shared" si="5"/>
        <v>-1.9999999494757503E-4</v>
      </c>
      <c r="O34">
        <f t="shared" ca="1" si="3"/>
        <v>1.1780474106527161E-2</v>
      </c>
      <c r="Q34" s="2">
        <f t="shared" si="4"/>
        <v>38953.768700000001</v>
      </c>
    </row>
    <row r="35" spans="1:18" x14ac:dyDescent="0.2">
      <c r="A35" s="35" t="s">
        <v>42</v>
      </c>
      <c r="B35" s="33" t="s">
        <v>43</v>
      </c>
      <c r="C35" s="32">
        <v>54004.767599999999</v>
      </c>
      <c r="D35" s="29">
        <v>8.9999999999999998E-4</v>
      </c>
      <c r="E35">
        <f t="shared" si="0"/>
        <v>30157.507322240916</v>
      </c>
      <c r="F35">
        <f t="shared" si="1"/>
        <v>30157.5</v>
      </c>
      <c r="G35">
        <f t="shared" si="2"/>
        <v>3.5250000000814907E-3</v>
      </c>
      <c r="K35">
        <f t="shared" si="5"/>
        <v>3.5250000000814907E-3</v>
      </c>
      <c r="O35">
        <f t="shared" ca="1" si="3"/>
        <v>1.2100942517609653E-2</v>
      </c>
      <c r="Q35" s="2">
        <f t="shared" si="4"/>
        <v>38986.267599999999</v>
      </c>
    </row>
    <row r="36" spans="1:18" x14ac:dyDescent="0.2">
      <c r="A36" s="35" t="s">
        <v>42</v>
      </c>
      <c r="B36" s="33" t="s">
        <v>43</v>
      </c>
      <c r="C36" s="32">
        <v>54005.728999999999</v>
      </c>
      <c r="D36" s="29">
        <v>1.2999999999999999E-3</v>
      </c>
      <c r="E36">
        <f t="shared" si="0"/>
        <v>30159.504372572235</v>
      </c>
      <c r="F36">
        <f t="shared" si="1"/>
        <v>30159.5</v>
      </c>
      <c r="G36">
        <f t="shared" si="2"/>
        <v>2.1049999995739199E-3</v>
      </c>
      <c r="K36">
        <f t="shared" si="5"/>
        <v>2.1049999995739199E-3</v>
      </c>
      <c r="O36">
        <f t="shared" ca="1" si="3"/>
        <v>1.211043787793803E-2</v>
      </c>
      <c r="Q36" s="2">
        <f t="shared" si="4"/>
        <v>38987.228999999999</v>
      </c>
    </row>
    <row r="37" spans="1:18" x14ac:dyDescent="0.2">
      <c r="A37" s="35" t="s">
        <v>42</v>
      </c>
      <c r="B37" s="33" t="s">
        <v>43</v>
      </c>
      <c r="C37" s="32">
        <v>54006.689899999998</v>
      </c>
      <c r="D37" s="29">
        <v>8.9999999999999998E-4</v>
      </c>
      <c r="E37">
        <f t="shared" si="0"/>
        <v>30161.500384287818</v>
      </c>
      <c r="F37">
        <f t="shared" si="1"/>
        <v>30161.5</v>
      </c>
      <c r="G37">
        <f t="shared" si="2"/>
        <v>1.8499999714549631E-4</v>
      </c>
      <c r="K37">
        <f t="shared" si="5"/>
        <v>1.8499999714549631E-4</v>
      </c>
      <c r="O37">
        <f t="shared" ca="1" si="3"/>
        <v>1.2119933238266406E-2</v>
      </c>
      <c r="Q37" s="2">
        <f t="shared" si="4"/>
        <v>38988.189899999998</v>
      </c>
    </row>
    <row r="38" spans="1:18" x14ac:dyDescent="0.2">
      <c r="A38" s="35" t="s">
        <v>42</v>
      </c>
      <c r="B38" s="33" t="s">
        <v>28</v>
      </c>
      <c r="C38" s="32">
        <v>54011.744100000004</v>
      </c>
      <c r="D38" s="29">
        <v>1.4E-3</v>
      </c>
      <c r="E38">
        <f t="shared" si="0"/>
        <v>30171.999127562791</v>
      </c>
      <c r="F38">
        <f t="shared" si="1"/>
        <v>30172</v>
      </c>
      <c r="G38">
        <f t="shared" si="2"/>
        <v>-4.1999999666586518E-4</v>
      </c>
      <c r="K38">
        <f t="shared" si="5"/>
        <v>-4.1999999666586518E-4</v>
      </c>
      <c r="O38">
        <f t="shared" ca="1" si="3"/>
        <v>1.2169783879990348E-2</v>
      </c>
      <c r="Q38" s="2">
        <f t="shared" si="4"/>
        <v>38993.244100000004</v>
      </c>
    </row>
    <row r="39" spans="1:18" x14ac:dyDescent="0.2">
      <c r="A39" s="16" t="s">
        <v>125</v>
      </c>
      <c r="B39" s="5" t="s">
        <v>43</v>
      </c>
      <c r="C39" s="28">
        <v>54023.060400000002</v>
      </c>
      <c r="D39" s="28" t="s">
        <v>62</v>
      </c>
      <c r="E39">
        <f t="shared" si="0"/>
        <v>30195.505702000377</v>
      </c>
      <c r="F39">
        <f t="shared" si="1"/>
        <v>30195.5</v>
      </c>
      <c r="G39">
        <f t="shared" si="2"/>
        <v>2.7450000052340329E-3</v>
      </c>
      <c r="K39">
        <f t="shared" si="5"/>
        <v>2.7450000052340329E-3</v>
      </c>
      <c r="O39">
        <f t="shared" ca="1" si="3"/>
        <v>1.2281354363848695E-2</v>
      </c>
      <c r="Q39" s="2">
        <f t="shared" si="4"/>
        <v>39004.560400000002</v>
      </c>
    </row>
    <row r="40" spans="1:18" x14ac:dyDescent="0.2">
      <c r="A40" s="35" t="s">
        <v>42</v>
      </c>
      <c r="B40" s="33" t="s">
        <v>28</v>
      </c>
      <c r="C40" s="32">
        <v>54028.596700000002</v>
      </c>
      <c r="D40" s="29">
        <v>8.0000000000000004E-4</v>
      </c>
      <c r="E40">
        <f t="shared" si="0"/>
        <v>30207.005878565051</v>
      </c>
      <c r="F40">
        <f t="shared" si="1"/>
        <v>30207</v>
      </c>
      <c r="G40">
        <f t="shared" si="2"/>
        <v>2.8300000049057417E-3</v>
      </c>
      <c r="K40">
        <f t="shared" si="5"/>
        <v>2.8300000049057417E-3</v>
      </c>
      <c r="O40">
        <f t="shared" ca="1" si="3"/>
        <v>1.233595268573684E-2</v>
      </c>
      <c r="Q40" s="2">
        <f t="shared" si="4"/>
        <v>39010.096700000002</v>
      </c>
    </row>
    <row r="41" spans="1:18" x14ac:dyDescent="0.2">
      <c r="A41" s="35" t="s">
        <v>42</v>
      </c>
      <c r="B41" s="33" t="s">
        <v>28</v>
      </c>
      <c r="C41" s="32">
        <v>54038.694300000003</v>
      </c>
      <c r="D41" s="29">
        <v>1.5E-3</v>
      </c>
      <c r="E41">
        <f t="shared" si="0"/>
        <v>30227.98093101515</v>
      </c>
      <c r="F41">
        <f t="shared" si="1"/>
        <v>30228</v>
      </c>
      <c r="G41">
        <f t="shared" si="2"/>
        <v>-9.17999999364838E-3</v>
      </c>
      <c r="K41">
        <f t="shared" si="5"/>
        <v>-9.17999999364838E-3</v>
      </c>
      <c r="O41">
        <f t="shared" ca="1" si="3"/>
        <v>1.2435653969184723E-2</v>
      </c>
      <c r="Q41" s="2">
        <f t="shared" si="4"/>
        <v>39020.194300000003</v>
      </c>
    </row>
    <row r="42" spans="1:18" x14ac:dyDescent="0.2">
      <c r="A42" s="29" t="s">
        <v>44</v>
      </c>
      <c r="B42" s="33" t="s">
        <v>43</v>
      </c>
      <c r="C42" s="32">
        <v>54769.726000000002</v>
      </c>
      <c r="D42" s="29">
        <v>3.0000000000000001E-3</v>
      </c>
      <c r="E42">
        <f t="shared" si="0"/>
        <v>31746.502980827157</v>
      </c>
      <c r="F42">
        <f t="shared" si="1"/>
        <v>31746.5</v>
      </c>
      <c r="G42">
        <f t="shared" si="2"/>
        <v>1.4350000055856071E-3</v>
      </c>
      <c r="K42">
        <f t="shared" si="5"/>
        <v>1.4350000055856071E-3</v>
      </c>
      <c r="O42">
        <f t="shared" ca="1" si="3"/>
        <v>1.9645006298499995E-2</v>
      </c>
      <c r="Q42" s="2">
        <f t="shared" si="4"/>
        <v>39751.226000000002</v>
      </c>
    </row>
    <row r="43" spans="1:18" x14ac:dyDescent="0.2">
      <c r="A43" s="16" t="s">
        <v>167</v>
      </c>
      <c r="B43" s="5" t="s">
        <v>43</v>
      </c>
      <c r="C43" s="28">
        <v>54775.029600000002</v>
      </c>
      <c r="D43" s="28" t="s">
        <v>62</v>
      </c>
      <c r="E43">
        <f t="shared" si="0"/>
        <v>31757.519785629716</v>
      </c>
      <c r="F43">
        <f t="shared" si="1"/>
        <v>31757.5</v>
      </c>
      <c r="G43">
        <f t="shared" si="2"/>
        <v>9.5250000013038516E-3</v>
      </c>
      <c r="K43">
        <f t="shared" si="5"/>
        <v>9.5250000013038516E-3</v>
      </c>
      <c r="O43">
        <f t="shared" ca="1" si="3"/>
        <v>1.9697230780306052E-2</v>
      </c>
      <c r="Q43" s="2">
        <f t="shared" si="4"/>
        <v>39756.529600000002</v>
      </c>
    </row>
    <row r="44" spans="1:18" x14ac:dyDescent="0.2">
      <c r="A44" s="16" t="s">
        <v>173</v>
      </c>
      <c r="B44" s="5" t="s">
        <v>43</v>
      </c>
      <c r="C44" s="28">
        <v>55138.971299999997</v>
      </c>
      <c r="D44" s="28" t="s">
        <v>62</v>
      </c>
      <c r="E44">
        <f t="shared" si="0"/>
        <v>32513.510936623661</v>
      </c>
      <c r="F44">
        <f t="shared" si="1"/>
        <v>32513.5</v>
      </c>
      <c r="G44">
        <f t="shared" si="2"/>
        <v>5.2649999997811392E-3</v>
      </c>
      <c r="K44">
        <f t="shared" si="5"/>
        <v>5.2649999997811392E-3</v>
      </c>
      <c r="O44">
        <f t="shared" ca="1" si="3"/>
        <v>2.3286476984430066E-2</v>
      </c>
      <c r="Q44" s="2">
        <f t="shared" si="4"/>
        <v>40120.471299999997</v>
      </c>
    </row>
    <row r="45" spans="1:18" x14ac:dyDescent="0.2">
      <c r="A45" s="31" t="s">
        <v>48</v>
      </c>
      <c r="B45" s="33" t="s">
        <v>28</v>
      </c>
      <c r="C45" s="32">
        <v>55506.6662</v>
      </c>
      <c r="D45" s="32">
        <v>5.0000000000000001E-4</v>
      </c>
      <c r="E45">
        <f t="shared" si="0"/>
        <v>33277.298352755446</v>
      </c>
      <c r="F45">
        <f t="shared" si="1"/>
        <v>33277.5</v>
      </c>
      <c r="O45">
        <f t="shared" ca="1" si="3"/>
        <v>2.6913704629867585E-2</v>
      </c>
      <c r="Q45" s="2">
        <f t="shared" si="4"/>
        <v>40488.1662</v>
      </c>
      <c r="R45">
        <f>+C45-(C$7+F45*C$8)</f>
        <v>-9.7074999997857958E-2</v>
      </c>
    </row>
    <row r="46" spans="1:18" x14ac:dyDescent="0.2">
      <c r="A46" s="31" t="s">
        <v>49</v>
      </c>
      <c r="B46" s="33" t="s">
        <v>28</v>
      </c>
      <c r="C46" s="32">
        <v>56239.733099999998</v>
      </c>
      <c r="D46" s="32">
        <v>5.0000000000000001E-4</v>
      </c>
      <c r="E46">
        <f t="shared" si="0"/>
        <v>34800.047984046854</v>
      </c>
      <c r="F46">
        <f t="shared" si="1"/>
        <v>34800</v>
      </c>
      <c r="O46">
        <f t="shared" ca="1" si="3"/>
        <v>3.414204767983961E-2</v>
      </c>
      <c r="Q46" s="2">
        <f t="shared" si="4"/>
        <v>41221.233099999998</v>
      </c>
      <c r="R46">
        <f>+C46-(C$7+F46*C$8)</f>
        <v>2.3099999998521525E-2</v>
      </c>
    </row>
    <row r="47" spans="1:18" x14ac:dyDescent="0.2">
      <c r="A47" s="50" t="s">
        <v>1</v>
      </c>
      <c r="B47" s="51" t="s">
        <v>28</v>
      </c>
      <c r="C47" s="52">
        <v>55831.49</v>
      </c>
      <c r="D47" s="52">
        <v>2.9999999999999997E-4</v>
      </c>
      <c r="E47">
        <f t="shared" ref="E47:E52" si="6">+(C47-C$7)/C$8</f>
        <v>33952.03257098938</v>
      </c>
      <c r="F47">
        <f t="shared" si="1"/>
        <v>33952</v>
      </c>
      <c r="G47">
        <f t="shared" ref="G47:G52" si="7">+C47-(C$7+F47*C$8)</f>
        <v>1.5679999996791594E-2</v>
      </c>
      <c r="K47">
        <f t="shared" ref="K47:K52" si="8">+G47</f>
        <v>1.5679999996791594E-2</v>
      </c>
      <c r="O47">
        <f t="shared" ref="O47:O52" ca="1" si="9">+C$11+C$12*$F47</f>
        <v>3.0116014900610527E-2</v>
      </c>
      <c r="Q47" s="2">
        <f t="shared" ref="Q47:Q52" si="10">+C47-15018.5</f>
        <v>40812.99</v>
      </c>
    </row>
    <row r="48" spans="1:18" x14ac:dyDescent="0.2">
      <c r="A48" s="50" t="s">
        <v>1</v>
      </c>
      <c r="B48" s="51" t="s">
        <v>28</v>
      </c>
      <c r="C48" s="52">
        <v>55834.3773</v>
      </c>
      <c r="D48" s="52">
        <v>2.9999999999999997E-4</v>
      </c>
      <c r="E48">
        <f t="shared" si="6"/>
        <v>33958.030161400886</v>
      </c>
      <c r="F48">
        <f t="shared" si="1"/>
        <v>33958</v>
      </c>
      <c r="G48">
        <f t="shared" si="7"/>
        <v>1.4520000004267786E-2</v>
      </c>
      <c r="K48">
        <f t="shared" si="8"/>
        <v>1.4520000004267786E-2</v>
      </c>
      <c r="O48">
        <f t="shared" ca="1" si="9"/>
        <v>3.0144500981595657E-2</v>
      </c>
      <c r="Q48" s="2">
        <f t="shared" si="10"/>
        <v>40815.8773</v>
      </c>
    </row>
    <row r="49" spans="1:17" x14ac:dyDescent="0.2">
      <c r="A49" s="50" t="s">
        <v>1</v>
      </c>
      <c r="B49" s="51" t="s">
        <v>43</v>
      </c>
      <c r="C49" s="52">
        <v>55835.341500000002</v>
      </c>
      <c r="D49" s="52">
        <v>6.9999999999999999E-4</v>
      </c>
      <c r="E49">
        <f t="shared" si="6"/>
        <v>33960.033027980309</v>
      </c>
      <c r="F49">
        <f t="shared" si="1"/>
        <v>33960</v>
      </c>
      <c r="G49">
        <f t="shared" si="7"/>
        <v>1.5900000005785841E-2</v>
      </c>
      <c r="K49">
        <f t="shared" si="8"/>
        <v>1.5900000005785841E-2</v>
      </c>
      <c r="O49">
        <f t="shared" ca="1" si="9"/>
        <v>3.0153996341924005E-2</v>
      </c>
      <c r="Q49" s="2">
        <f t="shared" si="10"/>
        <v>40816.841500000002</v>
      </c>
    </row>
    <row r="50" spans="1:17" x14ac:dyDescent="0.2">
      <c r="A50" s="50" t="s">
        <v>1</v>
      </c>
      <c r="B50" s="51" t="s">
        <v>43</v>
      </c>
      <c r="C50" s="52">
        <v>55840.3969</v>
      </c>
      <c r="D50" s="52">
        <v>2.0000000000000001E-4</v>
      </c>
      <c r="E50">
        <f t="shared" si="6"/>
        <v>33970.534263933027</v>
      </c>
      <c r="F50">
        <f t="shared" si="1"/>
        <v>33970.5</v>
      </c>
      <c r="G50">
        <f t="shared" si="7"/>
        <v>1.6494999996211845E-2</v>
      </c>
      <c r="K50">
        <f t="shared" si="8"/>
        <v>1.6494999996211845E-2</v>
      </c>
      <c r="O50">
        <f t="shared" ca="1" si="9"/>
        <v>3.0203846983647975E-2</v>
      </c>
      <c r="Q50" s="2">
        <f t="shared" si="10"/>
        <v>40821.8969</v>
      </c>
    </row>
    <row r="51" spans="1:17" x14ac:dyDescent="0.2">
      <c r="A51" s="50" t="s">
        <v>1</v>
      </c>
      <c r="B51" s="51" t="s">
        <v>43</v>
      </c>
      <c r="C51" s="52">
        <v>55853.394999999997</v>
      </c>
      <c r="D51" s="52">
        <v>2.0000000000000001E-4</v>
      </c>
      <c r="E51">
        <f t="shared" si="6"/>
        <v>33997.534326249966</v>
      </c>
      <c r="F51">
        <f t="shared" si="1"/>
        <v>33997.5</v>
      </c>
      <c r="G51">
        <f t="shared" si="7"/>
        <v>1.652499999909196E-2</v>
      </c>
      <c r="K51">
        <f t="shared" si="8"/>
        <v>1.652499999909196E-2</v>
      </c>
      <c r="O51">
        <f t="shared" ca="1" si="9"/>
        <v>3.0332034348080961E-2</v>
      </c>
      <c r="Q51" s="2">
        <f t="shared" si="10"/>
        <v>40834.894999999997</v>
      </c>
    </row>
    <row r="52" spans="1:17" x14ac:dyDescent="0.2">
      <c r="A52" s="50" t="s">
        <v>1</v>
      </c>
      <c r="B52" s="51" t="s">
        <v>43</v>
      </c>
      <c r="C52" s="52">
        <v>55854.3577</v>
      </c>
      <c r="D52" s="52">
        <v>2.0000000000000001E-4</v>
      </c>
      <c r="E52">
        <f t="shared" si="6"/>
        <v>33999.5340769822</v>
      </c>
      <c r="F52">
        <f t="shared" si="1"/>
        <v>33999.5</v>
      </c>
      <c r="G52">
        <f t="shared" si="7"/>
        <v>1.6405000002123415E-2</v>
      </c>
      <c r="K52">
        <f t="shared" si="8"/>
        <v>1.6405000002123415E-2</v>
      </c>
      <c r="O52">
        <f t="shared" ca="1" si="9"/>
        <v>3.0341529708409337E-2</v>
      </c>
      <c r="Q52" s="2">
        <f t="shared" si="10"/>
        <v>40835.8577</v>
      </c>
    </row>
    <row r="53" spans="1:17" x14ac:dyDescent="0.2">
      <c r="A53" s="55" t="s">
        <v>0</v>
      </c>
      <c r="B53" s="53" t="s">
        <v>43</v>
      </c>
      <c r="C53" s="54">
        <v>58041.442999999999</v>
      </c>
      <c r="D53" s="54">
        <v>0.01</v>
      </c>
      <c r="E53">
        <f>+(C53-C$7)/C$8</f>
        <v>38542.616480754448</v>
      </c>
      <c r="F53">
        <f t="shared" si="1"/>
        <v>38542.5</v>
      </c>
      <c r="G53">
        <f>+C53-(C$7+F53*C$8)</f>
        <v>5.6075000000419095E-2</v>
      </c>
      <c r="K53">
        <f>+G53</f>
        <v>5.6075000000419095E-2</v>
      </c>
      <c r="O53">
        <f ca="1">+C$11+C$12*$F53</f>
        <v>5.1910240694302862E-2</v>
      </c>
      <c r="Q53" s="2">
        <f>+C53-15018.5</f>
        <v>43022.942999999999</v>
      </c>
    </row>
    <row r="54" spans="1:17" ht="12" customHeight="1" x14ac:dyDescent="0.2">
      <c r="A54" s="56" t="s">
        <v>187</v>
      </c>
      <c r="B54" s="57" t="s">
        <v>28</v>
      </c>
      <c r="C54" s="58">
        <v>59455.155100000091</v>
      </c>
      <c r="D54" s="56" t="s">
        <v>165</v>
      </c>
      <c r="E54">
        <f t="shared" ref="E54:E55" si="11">+(C54-C$7)/C$8</f>
        <v>41479.22373860138</v>
      </c>
      <c r="F54">
        <f t="shared" ref="F54:F55" si="12">ROUND(2*E54,0)/2</f>
        <v>41479</v>
      </c>
      <c r="G54">
        <f t="shared" ref="G54:G55" si="13">+C54-(C$7+F54*C$8)</f>
        <v>0.10771000009117415</v>
      </c>
      <c r="K54">
        <f t="shared" ref="K54:K55" si="14">+G54</f>
        <v>0.10771000009117415</v>
      </c>
      <c r="O54">
        <f t="shared" ref="O54:O55" ca="1" si="15">+C$11+C$12*$F54</f>
        <v>6.5851803496432798E-2</v>
      </c>
      <c r="Q54" s="2">
        <f t="shared" ref="Q54:Q55" si="16">+C54-15018.5</f>
        <v>44436.655100000091</v>
      </c>
    </row>
    <row r="55" spans="1:17" ht="12" customHeight="1" x14ac:dyDescent="0.2">
      <c r="A55" s="56" t="s">
        <v>187</v>
      </c>
      <c r="B55" s="57" t="s">
        <v>28</v>
      </c>
      <c r="C55" s="58">
        <v>59503.032999999821</v>
      </c>
      <c r="D55" s="56" t="s">
        <v>165</v>
      </c>
      <c r="E55">
        <f t="shared" si="11"/>
        <v>41578.677219002144</v>
      </c>
      <c r="F55">
        <f t="shared" si="12"/>
        <v>41578.5</v>
      </c>
      <c r="G55">
        <f t="shared" si="13"/>
        <v>8.5314999822003301E-2</v>
      </c>
      <c r="K55">
        <f t="shared" si="14"/>
        <v>8.5314999822003301E-2</v>
      </c>
      <c r="O55">
        <f t="shared" ca="1" si="15"/>
        <v>6.6324197672769231E-2</v>
      </c>
      <c r="Q55" s="2">
        <f t="shared" si="16"/>
        <v>44484.532999999821</v>
      </c>
    </row>
    <row r="56" spans="1:17" ht="12" customHeight="1" x14ac:dyDescent="0.2">
      <c r="A56" s="59" t="s">
        <v>188</v>
      </c>
      <c r="B56" s="60" t="s">
        <v>28</v>
      </c>
      <c r="C56" s="58">
        <v>59527.841099999998</v>
      </c>
      <c r="D56" s="56">
        <v>1.2999999999999999E-3</v>
      </c>
      <c r="E56">
        <f t="shared" ref="E56" si="17">+(C56-C$7)/C$8</f>
        <v>41630.209384931761</v>
      </c>
      <c r="F56">
        <f t="shared" ref="F56" si="18">ROUND(2*E56,0)/2</f>
        <v>41630</v>
      </c>
      <c r="G56">
        <f t="shared" ref="G56" si="19">+C56-(C$7+F56*C$8)</f>
        <v>0.10079999999288702</v>
      </c>
      <c r="K56">
        <f t="shared" ref="K56" si="20">+G56</f>
        <v>0.10079999999288702</v>
      </c>
      <c r="O56">
        <f t="shared" ref="O56" ca="1" si="21">+C$11+C$12*$F56</f>
        <v>6.6568703201224766E-2</v>
      </c>
      <c r="Q56" s="2">
        <f t="shared" ref="Q56" si="22">+C56-15018.5</f>
        <v>44509.341099999998</v>
      </c>
    </row>
    <row r="57" spans="1:17" ht="12" customHeight="1" x14ac:dyDescent="0.2"/>
    <row r="58" spans="1:17" ht="12" customHeight="1" x14ac:dyDescent="0.2"/>
    <row r="59" spans="1:17" ht="12" customHeight="1" x14ac:dyDescent="0.2"/>
  </sheetData>
  <phoneticPr fontId="8" type="noConversion"/>
  <hyperlinks>
    <hyperlink ref="H64789" r:id="rId1" display="http://vsolj.cetus-net.org/bulletin.html" xr:uid="{00000000-0004-0000-0000-000000000000}"/>
    <hyperlink ref="H64782" r:id="rId2" display="http://vsolj.cetus-net.org/bulletin.html" xr:uid="{00000000-0004-0000-0000-000001000000}"/>
    <hyperlink ref="AP2279" r:id="rId3" display="http://cdsbib.u-strasbg.fr/cgi-bin/cdsbib?1990RMxAA..21..381G" xr:uid="{00000000-0004-0000-0000-000002000000}"/>
    <hyperlink ref="AP2282" r:id="rId4" display="http://cdsbib.u-strasbg.fr/cgi-bin/cdsbib?1990RMxAA..21..381G" xr:uid="{00000000-0004-0000-0000-000003000000}"/>
    <hyperlink ref="AP2280" r:id="rId5" display="http://cdsbib.u-strasbg.fr/cgi-bin/cdsbib?1990RMxAA..21..381G" xr:uid="{00000000-0004-0000-0000-000004000000}"/>
    <hyperlink ref="AP2258" r:id="rId6" display="http://cdsbib.u-strasbg.fr/cgi-bin/cdsbib?1990RMxAA..21..381G" xr:uid="{00000000-0004-0000-0000-000005000000}"/>
    <hyperlink ref="I64789" r:id="rId7" display="http://vsolj.cetus-net.org/bulletin.html" xr:uid="{00000000-0004-0000-0000-000006000000}"/>
    <hyperlink ref="AQ2392" r:id="rId8" display="http://cdsbib.u-strasbg.fr/cgi-bin/cdsbib?1990RMxAA..21..381G" xr:uid="{00000000-0004-0000-0000-000007000000}"/>
    <hyperlink ref="AQ661" r:id="rId9" display="http://cdsbib.u-strasbg.fr/cgi-bin/cdsbib?1990RMxAA..21..381G" xr:uid="{00000000-0004-0000-0000-000008000000}"/>
    <hyperlink ref="AQ2393" r:id="rId10" display="http://cdsbib.u-strasbg.fr/cgi-bin/cdsbib?1990RMxAA..21..381G" xr:uid="{00000000-0004-0000-0000-000009000000}"/>
    <hyperlink ref="H64786" r:id="rId11" display="https://www.aavso.org/ejaavso" xr:uid="{00000000-0004-0000-0000-00000A000000}"/>
    <hyperlink ref="H64831" r:id="rId12" display="http://vsolj.cetus-net.org/bulletin.html" xr:uid="{00000000-0004-0000-0000-00000B000000}"/>
    <hyperlink ref="H64824" r:id="rId13" display="https://www.aavso.org/ejaavso" xr:uid="{00000000-0004-0000-0000-00000C000000}"/>
    <hyperlink ref="AP1682" r:id="rId14" display="http://cdsbib.u-strasbg.fr/cgi-bin/cdsbib?1990RMxAA..21..381G" xr:uid="{00000000-0004-0000-0000-00000D000000}"/>
    <hyperlink ref="AP1679" r:id="rId15" display="http://cdsbib.u-strasbg.fr/cgi-bin/cdsbib?1990RMxAA..21..381G" xr:uid="{00000000-0004-0000-0000-00000E000000}"/>
    <hyperlink ref="AP1681" r:id="rId16" display="http://cdsbib.u-strasbg.fr/cgi-bin/cdsbib?1990RMxAA..21..381G" xr:uid="{00000000-0004-0000-0000-00000F000000}"/>
    <hyperlink ref="AP1657" r:id="rId17" display="http://cdsbib.u-strasbg.fr/cgi-bin/cdsbib?1990RMxAA..21..381G" xr:uid="{00000000-0004-0000-0000-000010000000}"/>
    <hyperlink ref="I64831" r:id="rId18" display="http://vsolj.cetus-net.org/bulletin.html" xr:uid="{00000000-0004-0000-0000-000011000000}"/>
    <hyperlink ref="AQ1818" r:id="rId19" display="http://cdsbib.u-strasbg.fr/cgi-bin/cdsbib?1990RMxAA..21..381G" xr:uid="{00000000-0004-0000-0000-000012000000}"/>
    <hyperlink ref="AQ3462" r:id="rId20" display="http://cdsbib.u-strasbg.fr/cgi-bin/cdsbib?1990RMxAA..21..381G" xr:uid="{00000000-0004-0000-0000-000013000000}"/>
    <hyperlink ref="AQ1819" r:id="rId21" display="http://cdsbib.u-strasbg.fr/cgi-bin/cdsbib?1990RMxAA..21..381G" xr:uid="{00000000-0004-0000-0000-000014000000}"/>
    <hyperlink ref="H64828" r:id="rId22" display="https://www.aavso.org/ejaavso" xr:uid="{00000000-0004-0000-0000-000015000000}"/>
    <hyperlink ref="H2669" r:id="rId23" display="http://vsolj.cetus-net.org/bulletin.html" xr:uid="{00000000-0004-0000-0000-000016000000}"/>
    <hyperlink ref="AP5907" r:id="rId24" display="http://cdsbib.u-strasbg.fr/cgi-bin/cdsbib?1990RMxAA..21..381G" xr:uid="{00000000-0004-0000-0000-000017000000}"/>
    <hyperlink ref="AP5910" r:id="rId25" display="http://cdsbib.u-strasbg.fr/cgi-bin/cdsbib?1990RMxAA..21..381G" xr:uid="{00000000-0004-0000-0000-000018000000}"/>
    <hyperlink ref="AP5908" r:id="rId26" display="http://cdsbib.u-strasbg.fr/cgi-bin/cdsbib?1990RMxAA..21..381G" xr:uid="{00000000-0004-0000-0000-000019000000}"/>
    <hyperlink ref="AP5886" r:id="rId27" display="http://cdsbib.u-strasbg.fr/cgi-bin/cdsbib?1990RMxAA..21..381G" xr:uid="{00000000-0004-0000-0000-00001A000000}"/>
    <hyperlink ref="I2669" r:id="rId28" display="http://vsolj.cetus-net.org/bulletin.html" xr:uid="{00000000-0004-0000-0000-00001B000000}"/>
    <hyperlink ref="AQ6020" r:id="rId29" display="http://cdsbib.u-strasbg.fr/cgi-bin/cdsbib?1990RMxAA..21..381G" xr:uid="{00000000-0004-0000-0000-00001C000000}"/>
    <hyperlink ref="AQ572" r:id="rId30" display="http://cdsbib.u-strasbg.fr/cgi-bin/cdsbib?1990RMxAA..21..381G" xr:uid="{00000000-0004-0000-0000-00001D000000}"/>
    <hyperlink ref="AQ6021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27" sqref="A27:D34"/>
    </sheetView>
  </sheetViews>
  <sheetFormatPr defaultRowHeight="12.75" x14ac:dyDescent="0.2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28" t="str">
        <f t="shared" ref="A11:A34" si="0">P11</f>
        <v> PASP 80.221 </v>
      </c>
      <c r="B11" s="5" t="str">
        <f t="shared" ref="B11:B34" si="1">IF(H11=INT(H11),"I","II")</f>
        <v>I</v>
      </c>
      <c r="C11" s="28">
        <f t="shared" ref="C11:C34" si="2">1*G11</f>
        <v>39486.642</v>
      </c>
      <c r="D11" s="10" t="str">
        <f t="shared" ref="D11:D34" si="3">VLOOKUP(F11,I$1:J$5,2,FALSE)</f>
        <v>vis</v>
      </c>
      <c r="E11" s="45">
        <f>VLOOKUP(C11,Active!C$21:E$973,3,FALSE)</f>
        <v>0</v>
      </c>
      <c r="F11" s="5" t="s">
        <v>61</v>
      </c>
      <c r="G11" s="10" t="str">
        <f t="shared" ref="G11:G34" si="4">MID(I11,3,LEN(I11)-3)</f>
        <v>39486.642</v>
      </c>
      <c r="H11" s="28">
        <f t="shared" ref="H11:H34" si="5">1*K11</f>
        <v>-27032</v>
      </c>
      <c r="I11" s="46" t="s">
        <v>63</v>
      </c>
      <c r="J11" s="47" t="s">
        <v>64</v>
      </c>
      <c r="K11" s="46">
        <v>-27032</v>
      </c>
      <c r="L11" s="46" t="s">
        <v>65</v>
      </c>
      <c r="M11" s="47" t="s">
        <v>66</v>
      </c>
      <c r="N11" s="47" t="s">
        <v>67</v>
      </c>
      <c r="O11" s="48" t="s">
        <v>68</v>
      </c>
      <c r="P11" s="48" t="s">
        <v>69</v>
      </c>
    </row>
    <row r="12" spans="1:16" ht="12.75" customHeight="1" thickBot="1" x14ac:dyDescent="0.25">
      <c r="A12" s="28" t="str">
        <f t="shared" si="0"/>
        <v>BAVM 117 </v>
      </c>
      <c r="B12" s="5" t="str">
        <f t="shared" si="1"/>
        <v>I</v>
      </c>
      <c r="C12" s="28">
        <f t="shared" si="2"/>
        <v>51080.444300000003</v>
      </c>
      <c r="D12" s="10" t="str">
        <f t="shared" si="3"/>
        <v>vis</v>
      </c>
      <c r="E12" s="45">
        <f>VLOOKUP(C12,Active!C$21:E$973,3,FALSE)</f>
        <v>24083.010947009832</v>
      </c>
      <c r="F12" s="5" t="s">
        <v>61</v>
      </c>
      <c r="G12" s="10" t="str">
        <f t="shared" si="4"/>
        <v>51080.4443</v>
      </c>
      <c r="H12" s="28">
        <f t="shared" si="5"/>
        <v>-2949</v>
      </c>
      <c r="I12" s="46" t="s">
        <v>76</v>
      </c>
      <c r="J12" s="47" t="s">
        <v>77</v>
      </c>
      <c r="K12" s="46">
        <v>-2949</v>
      </c>
      <c r="L12" s="46" t="s">
        <v>78</v>
      </c>
      <c r="M12" s="47" t="s">
        <v>66</v>
      </c>
      <c r="N12" s="47" t="s">
        <v>79</v>
      </c>
      <c r="O12" s="48" t="s">
        <v>80</v>
      </c>
      <c r="P12" s="49" t="s">
        <v>81</v>
      </c>
    </row>
    <row r="13" spans="1:16" ht="12.75" customHeight="1" thickBot="1" x14ac:dyDescent="0.25">
      <c r="A13" s="28" t="str">
        <f t="shared" si="0"/>
        <v>VSB 47 </v>
      </c>
      <c r="B13" s="5" t="str">
        <f t="shared" si="1"/>
        <v>II</v>
      </c>
      <c r="C13" s="28">
        <f t="shared" si="2"/>
        <v>51137.981</v>
      </c>
      <c r="D13" s="10" t="str">
        <f t="shared" si="3"/>
        <v>vis</v>
      </c>
      <c r="E13" s="45">
        <f>VLOOKUP(C13,Active!C$21:E$973,3,FALSE)</f>
        <v>24202.527990694001</v>
      </c>
      <c r="F13" s="5" t="s">
        <v>61</v>
      </c>
      <c r="G13" s="10" t="str">
        <f t="shared" si="4"/>
        <v>51137.981</v>
      </c>
      <c r="H13" s="28">
        <f t="shared" si="5"/>
        <v>-2829.5</v>
      </c>
      <c r="I13" s="46" t="s">
        <v>82</v>
      </c>
      <c r="J13" s="47" t="s">
        <v>83</v>
      </c>
      <c r="K13" s="46">
        <v>-2829.5</v>
      </c>
      <c r="L13" s="46" t="s">
        <v>84</v>
      </c>
      <c r="M13" s="47" t="s">
        <v>73</v>
      </c>
      <c r="N13" s="47" t="s">
        <v>61</v>
      </c>
      <c r="O13" s="48" t="s">
        <v>74</v>
      </c>
      <c r="P13" s="49" t="s">
        <v>75</v>
      </c>
    </row>
    <row r="14" spans="1:16" ht="12.75" customHeight="1" thickBot="1" x14ac:dyDescent="0.25">
      <c r="A14" s="28" t="str">
        <f t="shared" si="0"/>
        <v>BAVM 132 </v>
      </c>
      <c r="B14" s="5" t="str">
        <f t="shared" si="1"/>
        <v>I</v>
      </c>
      <c r="C14" s="28">
        <f t="shared" si="2"/>
        <v>51498.304499999998</v>
      </c>
      <c r="D14" s="10" t="str">
        <f t="shared" si="3"/>
        <v>vis</v>
      </c>
      <c r="E14" s="45">
        <f>VLOOKUP(C14,Active!C$21:E$973,3,FALSE)</f>
        <v>24951.003302798028</v>
      </c>
      <c r="F14" s="5" t="s">
        <v>61</v>
      </c>
      <c r="G14" s="10" t="str">
        <f t="shared" si="4"/>
        <v>51498.3045</v>
      </c>
      <c r="H14" s="28">
        <f t="shared" si="5"/>
        <v>-2081</v>
      </c>
      <c r="I14" s="46" t="s">
        <v>85</v>
      </c>
      <c r="J14" s="47" t="s">
        <v>86</v>
      </c>
      <c r="K14" s="46">
        <v>-2081</v>
      </c>
      <c r="L14" s="46" t="s">
        <v>87</v>
      </c>
      <c r="M14" s="47" t="s">
        <v>66</v>
      </c>
      <c r="N14" s="47" t="s">
        <v>88</v>
      </c>
      <c r="O14" s="48" t="s">
        <v>80</v>
      </c>
      <c r="P14" s="49" t="s">
        <v>89</v>
      </c>
    </row>
    <row r="15" spans="1:16" ht="12.75" customHeight="1" thickBot="1" x14ac:dyDescent="0.25">
      <c r="A15" s="28" t="str">
        <f t="shared" si="0"/>
        <v>IBVS 5843 </v>
      </c>
      <c r="B15" s="5" t="str">
        <f t="shared" si="1"/>
        <v>I</v>
      </c>
      <c r="C15" s="28">
        <f t="shared" si="2"/>
        <v>53260.751400000001</v>
      </c>
      <c r="D15" s="10" t="str">
        <f t="shared" si="3"/>
        <v>vis</v>
      </c>
      <c r="E15" s="45">
        <f>VLOOKUP(C15,Active!C$21:E$973,3,FALSE)</f>
        <v>28612.013460459901</v>
      </c>
      <c r="F15" s="5" t="s">
        <v>61</v>
      </c>
      <c r="G15" s="10" t="str">
        <f t="shared" si="4"/>
        <v>53260.7514</v>
      </c>
      <c r="H15" s="28">
        <f t="shared" si="5"/>
        <v>1580</v>
      </c>
      <c r="I15" s="46" t="s">
        <v>101</v>
      </c>
      <c r="J15" s="47" t="s">
        <v>102</v>
      </c>
      <c r="K15" s="46" t="s">
        <v>103</v>
      </c>
      <c r="L15" s="46" t="s">
        <v>104</v>
      </c>
      <c r="M15" s="47" t="s">
        <v>73</v>
      </c>
      <c r="N15" s="47" t="s">
        <v>88</v>
      </c>
      <c r="O15" s="48" t="s">
        <v>105</v>
      </c>
      <c r="P15" s="49" t="s">
        <v>106</v>
      </c>
    </row>
    <row r="16" spans="1:16" ht="12.75" customHeight="1" thickBot="1" x14ac:dyDescent="0.25">
      <c r="A16" s="28" t="str">
        <f t="shared" si="0"/>
        <v>IBVS 5843 </v>
      </c>
      <c r="B16" s="5" t="str">
        <f t="shared" si="1"/>
        <v>II</v>
      </c>
      <c r="C16" s="28">
        <f t="shared" si="2"/>
        <v>53309.620799999997</v>
      </c>
      <c r="D16" s="10" t="str">
        <f t="shared" si="3"/>
        <v>vis</v>
      </c>
      <c r="E16" s="45">
        <f>VLOOKUP(C16,Active!C$21:E$973,3,FALSE)</f>
        <v>28713.526515859656</v>
      </c>
      <c r="F16" s="5" t="s">
        <v>61</v>
      </c>
      <c r="G16" s="10" t="str">
        <f t="shared" si="4"/>
        <v>53309.6208</v>
      </c>
      <c r="H16" s="28">
        <f t="shared" si="5"/>
        <v>1681.5</v>
      </c>
      <c r="I16" s="46" t="s">
        <v>107</v>
      </c>
      <c r="J16" s="47" t="s">
        <v>108</v>
      </c>
      <c r="K16" s="46" t="s">
        <v>109</v>
      </c>
      <c r="L16" s="46" t="s">
        <v>110</v>
      </c>
      <c r="M16" s="47" t="s">
        <v>73</v>
      </c>
      <c r="N16" s="47" t="s">
        <v>88</v>
      </c>
      <c r="O16" s="48" t="s">
        <v>105</v>
      </c>
      <c r="P16" s="49" t="s">
        <v>106</v>
      </c>
    </row>
    <row r="17" spans="1:16" ht="12.75" customHeight="1" thickBot="1" x14ac:dyDescent="0.25">
      <c r="A17" s="28" t="str">
        <f t="shared" si="0"/>
        <v>IBVS 5843 </v>
      </c>
      <c r="B17" s="5" t="str">
        <f t="shared" si="1"/>
        <v>II</v>
      </c>
      <c r="C17" s="28">
        <f t="shared" si="2"/>
        <v>53310.582000000002</v>
      </c>
      <c r="D17" s="10" t="str">
        <f t="shared" si="3"/>
        <v>vis</v>
      </c>
      <c r="E17" s="45">
        <f>VLOOKUP(C17,Active!C$21:E$973,3,FALSE)</f>
        <v>28715.523150744692</v>
      </c>
      <c r="F17" s="5" t="s">
        <v>61</v>
      </c>
      <c r="G17" s="10" t="str">
        <f t="shared" si="4"/>
        <v>53310.5820</v>
      </c>
      <c r="H17" s="28">
        <f t="shared" si="5"/>
        <v>1683.5</v>
      </c>
      <c r="I17" s="46" t="s">
        <v>111</v>
      </c>
      <c r="J17" s="47" t="s">
        <v>112</v>
      </c>
      <c r="K17" s="46" t="s">
        <v>113</v>
      </c>
      <c r="L17" s="46" t="s">
        <v>114</v>
      </c>
      <c r="M17" s="47" t="s">
        <v>73</v>
      </c>
      <c r="N17" s="47" t="s">
        <v>88</v>
      </c>
      <c r="O17" s="48" t="s">
        <v>105</v>
      </c>
      <c r="P17" s="49" t="s">
        <v>106</v>
      </c>
    </row>
    <row r="18" spans="1:16" ht="12.75" customHeight="1" thickBot="1" x14ac:dyDescent="0.25">
      <c r="A18" s="28" t="str">
        <f t="shared" si="0"/>
        <v>IBVS 5843 </v>
      </c>
      <c r="B18" s="5" t="str">
        <f t="shared" si="1"/>
        <v>II</v>
      </c>
      <c r="C18" s="28">
        <f t="shared" si="2"/>
        <v>54004.767599999999</v>
      </c>
      <c r="D18" s="10" t="str">
        <f t="shared" si="3"/>
        <v>vis</v>
      </c>
      <c r="E18" s="45">
        <f>VLOOKUP(C18,Active!C$21:E$973,3,FALSE)</f>
        <v>30157.507322240916</v>
      </c>
      <c r="F18" s="5" t="s">
        <v>61</v>
      </c>
      <c r="G18" s="10" t="str">
        <f t="shared" si="4"/>
        <v>54004.7676</v>
      </c>
      <c r="H18" s="28">
        <f t="shared" si="5"/>
        <v>3125.5</v>
      </c>
      <c r="I18" s="46" t="s">
        <v>126</v>
      </c>
      <c r="J18" s="47" t="s">
        <v>127</v>
      </c>
      <c r="K18" s="46" t="s">
        <v>128</v>
      </c>
      <c r="L18" s="46" t="s">
        <v>129</v>
      </c>
      <c r="M18" s="47" t="s">
        <v>73</v>
      </c>
      <c r="N18" s="47" t="s">
        <v>88</v>
      </c>
      <c r="O18" s="48" t="s">
        <v>105</v>
      </c>
      <c r="P18" s="49" t="s">
        <v>106</v>
      </c>
    </row>
    <row r="19" spans="1:16" ht="12.75" customHeight="1" thickBot="1" x14ac:dyDescent="0.25">
      <c r="A19" s="28" t="str">
        <f t="shared" si="0"/>
        <v>IBVS 5843 </v>
      </c>
      <c r="B19" s="5" t="str">
        <f t="shared" si="1"/>
        <v>II</v>
      </c>
      <c r="C19" s="28">
        <f t="shared" si="2"/>
        <v>54005.728999999999</v>
      </c>
      <c r="D19" s="10" t="str">
        <f t="shared" si="3"/>
        <v>vis</v>
      </c>
      <c r="E19" s="45">
        <f>VLOOKUP(C19,Active!C$21:E$973,3,FALSE)</f>
        <v>30159.504372572235</v>
      </c>
      <c r="F19" s="5" t="s">
        <v>61</v>
      </c>
      <c r="G19" s="10" t="str">
        <f t="shared" si="4"/>
        <v>54005.7290</v>
      </c>
      <c r="H19" s="28">
        <f t="shared" si="5"/>
        <v>3127.5</v>
      </c>
      <c r="I19" s="46" t="s">
        <v>130</v>
      </c>
      <c r="J19" s="47" t="s">
        <v>131</v>
      </c>
      <c r="K19" s="46" t="s">
        <v>132</v>
      </c>
      <c r="L19" s="46" t="s">
        <v>133</v>
      </c>
      <c r="M19" s="47" t="s">
        <v>73</v>
      </c>
      <c r="N19" s="47" t="s">
        <v>88</v>
      </c>
      <c r="O19" s="48" t="s">
        <v>105</v>
      </c>
      <c r="P19" s="49" t="s">
        <v>106</v>
      </c>
    </row>
    <row r="20" spans="1:16" ht="12.75" customHeight="1" thickBot="1" x14ac:dyDescent="0.25">
      <c r="A20" s="28" t="str">
        <f t="shared" si="0"/>
        <v>IBVS 5843 </v>
      </c>
      <c r="B20" s="5" t="str">
        <f t="shared" si="1"/>
        <v>II</v>
      </c>
      <c r="C20" s="28">
        <f t="shared" si="2"/>
        <v>54006.689899999998</v>
      </c>
      <c r="D20" s="10" t="str">
        <f t="shared" si="3"/>
        <v>vis</v>
      </c>
      <c r="E20" s="45">
        <f>VLOOKUP(C20,Active!C$21:E$973,3,FALSE)</f>
        <v>30161.500384287818</v>
      </c>
      <c r="F20" s="5" t="s">
        <v>61</v>
      </c>
      <c r="G20" s="10" t="str">
        <f t="shared" si="4"/>
        <v>54006.6899</v>
      </c>
      <c r="H20" s="28">
        <f t="shared" si="5"/>
        <v>3129.5</v>
      </c>
      <c r="I20" s="46" t="s">
        <v>134</v>
      </c>
      <c r="J20" s="47" t="s">
        <v>135</v>
      </c>
      <c r="K20" s="46" t="s">
        <v>136</v>
      </c>
      <c r="L20" s="46" t="s">
        <v>137</v>
      </c>
      <c r="M20" s="47" t="s">
        <v>73</v>
      </c>
      <c r="N20" s="47" t="s">
        <v>88</v>
      </c>
      <c r="O20" s="48" t="s">
        <v>105</v>
      </c>
      <c r="P20" s="49" t="s">
        <v>106</v>
      </c>
    </row>
    <row r="21" spans="1:16" ht="12.75" customHeight="1" thickBot="1" x14ac:dyDescent="0.25">
      <c r="A21" s="28" t="str">
        <f t="shared" si="0"/>
        <v>IBVS 5843 </v>
      </c>
      <c r="B21" s="5" t="str">
        <f t="shared" si="1"/>
        <v>I</v>
      </c>
      <c r="C21" s="28">
        <f t="shared" si="2"/>
        <v>54011.744100000004</v>
      </c>
      <c r="D21" s="10" t="str">
        <f t="shared" si="3"/>
        <v>vis</v>
      </c>
      <c r="E21" s="45">
        <f>VLOOKUP(C21,Active!C$21:E$973,3,FALSE)</f>
        <v>30171.999127562791</v>
      </c>
      <c r="F21" s="5" t="s">
        <v>61</v>
      </c>
      <c r="G21" s="10" t="str">
        <f t="shared" si="4"/>
        <v>54011.7441</v>
      </c>
      <c r="H21" s="28">
        <f t="shared" si="5"/>
        <v>3140</v>
      </c>
      <c r="I21" s="46" t="s">
        <v>138</v>
      </c>
      <c r="J21" s="47" t="s">
        <v>139</v>
      </c>
      <c r="K21" s="46" t="s">
        <v>140</v>
      </c>
      <c r="L21" s="46" t="s">
        <v>141</v>
      </c>
      <c r="M21" s="47" t="s">
        <v>73</v>
      </c>
      <c r="N21" s="47" t="s">
        <v>88</v>
      </c>
      <c r="O21" s="48" t="s">
        <v>105</v>
      </c>
      <c r="P21" s="49" t="s">
        <v>106</v>
      </c>
    </row>
    <row r="22" spans="1:16" ht="12.75" customHeight="1" thickBot="1" x14ac:dyDescent="0.25">
      <c r="A22" s="28" t="str">
        <f t="shared" si="0"/>
        <v>IBVS 5843 </v>
      </c>
      <c r="B22" s="5" t="str">
        <f t="shared" si="1"/>
        <v>I</v>
      </c>
      <c r="C22" s="28">
        <f t="shared" si="2"/>
        <v>54028.596700000002</v>
      </c>
      <c r="D22" s="10" t="str">
        <f t="shared" si="3"/>
        <v>vis</v>
      </c>
      <c r="E22" s="45">
        <f>VLOOKUP(C22,Active!C$21:E$973,3,FALSE)</f>
        <v>30207.005878565051</v>
      </c>
      <c r="F22" s="5" t="s">
        <v>61</v>
      </c>
      <c r="G22" s="10" t="str">
        <f t="shared" si="4"/>
        <v>54028.5967</v>
      </c>
      <c r="H22" s="28">
        <f t="shared" si="5"/>
        <v>3175</v>
      </c>
      <c r="I22" s="46" t="s">
        <v>147</v>
      </c>
      <c r="J22" s="47" t="s">
        <v>148</v>
      </c>
      <c r="K22" s="46" t="s">
        <v>149</v>
      </c>
      <c r="L22" s="46" t="s">
        <v>150</v>
      </c>
      <c r="M22" s="47" t="s">
        <v>73</v>
      </c>
      <c r="N22" s="47" t="s">
        <v>88</v>
      </c>
      <c r="O22" s="48" t="s">
        <v>105</v>
      </c>
      <c r="P22" s="49" t="s">
        <v>106</v>
      </c>
    </row>
    <row r="23" spans="1:16" ht="12.75" customHeight="1" thickBot="1" x14ac:dyDescent="0.25">
      <c r="A23" s="28" t="str">
        <f t="shared" si="0"/>
        <v>IBVS 5843 </v>
      </c>
      <c r="B23" s="5" t="str">
        <f t="shared" si="1"/>
        <v>I</v>
      </c>
      <c r="C23" s="28">
        <f t="shared" si="2"/>
        <v>54038.694300000003</v>
      </c>
      <c r="D23" s="10" t="str">
        <f t="shared" si="3"/>
        <v>vis</v>
      </c>
      <c r="E23" s="45">
        <f>VLOOKUP(C23,Active!C$21:E$973,3,FALSE)</f>
        <v>30227.98093101515</v>
      </c>
      <c r="F23" s="5" t="s">
        <v>61</v>
      </c>
      <c r="G23" s="10" t="str">
        <f t="shared" si="4"/>
        <v>54038.6943</v>
      </c>
      <c r="H23" s="28">
        <f t="shared" si="5"/>
        <v>3196</v>
      </c>
      <c r="I23" s="46" t="s">
        <v>151</v>
      </c>
      <c r="J23" s="47" t="s">
        <v>152</v>
      </c>
      <c r="K23" s="46" t="s">
        <v>153</v>
      </c>
      <c r="L23" s="46" t="s">
        <v>154</v>
      </c>
      <c r="M23" s="47" t="s">
        <v>73</v>
      </c>
      <c r="N23" s="47" t="s">
        <v>88</v>
      </c>
      <c r="O23" s="48" t="s">
        <v>105</v>
      </c>
      <c r="P23" s="49" t="s">
        <v>106</v>
      </c>
    </row>
    <row r="24" spans="1:16" ht="12.75" customHeight="1" thickBot="1" x14ac:dyDescent="0.25">
      <c r="A24" s="28" t="str">
        <f t="shared" si="0"/>
        <v>IBVS 5871 </v>
      </c>
      <c r="B24" s="5" t="str">
        <f t="shared" si="1"/>
        <v>II</v>
      </c>
      <c r="C24" s="28">
        <f t="shared" si="2"/>
        <v>54769.726000000002</v>
      </c>
      <c r="D24" s="10" t="str">
        <f t="shared" si="3"/>
        <v>vis</v>
      </c>
      <c r="E24" s="45">
        <f>VLOOKUP(C24,Active!C$21:E$973,3,FALSE)</f>
        <v>31746.502980827157</v>
      </c>
      <c r="F24" s="5" t="s">
        <v>61</v>
      </c>
      <c r="G24" s="10" t="str">
        <f t="shared" si="4"/>
        <v>54769.726</v>
      </c>
      <c r="H24" s="28">
        <f t="shared" si="5"/>
        <v>4714.5</v>
      </c>
      <c r="I24" s="46" t="s">
        <v>155</v>
      </c>
      <c r="J24" s="47" t="s">
        <v>156</v>
      </c>
      <c r="K24" s="46" t="s">
        <v>157</v>
      </c>
      <c r="L24" s="46" t="s">
        <v>158</v>
      </c>
      <c r="M24" s="47" t="s">
        <v>73</v>
      </c>
      <c r="N24" s="47" t="s">
        <v>61</v>
      </c>
      <c r="O24" s="48" t="s">
        <v>159</v>
      </c>
      <c r="P24" s="49" t="s">
        <v>160</v>
      </c>
    </row>
    <row r="25" spans="1:16" ht="12.75" customHeight="1" thickBot="1" x14ac:dyDescent="0.25">
      <c r="A25" s="28" t="str">
        <f t="shared" si="0"/>
        <v>IBVS 5960 </v>
      </c>
      <c r="B25" s="5" t="str">
        <f t="shared" si="1"/>
        <v>I</v>
      </c>
      <c r="C25" s="28">
        <f t="shared" si="2"/>
        <v>55506.6662</v>
      </c>
      <c r="D25" s="10" t="str">
        <f t="shared" si="3"/>
        <v>vis</v>
      </c>
      <c r="E25" s="45">
        <f>VLOOKUP(C25,Active!C$21:E$973,3,FALSE)</f>
        <v>33277.298352755446</v>
      </c>
      <c r="F25" s="5" t="s">
        <v>61</v>
      </c>
      <c r="G25" s="10" t="str">
        <f t="shared" si="4"/>
        <v>55506.6662</v>
      </c>
      <c r="H25" s="28">
        <f t="shared" si="5"/>
        <v>6245</v>
      </c>
      <c r="I25" s="46" t="s">
        <v>174</v>
      </c>
      <c r="J25" s="47" t="s">
        <v>175</v>
      </c>
      <c r="K25" s="46" t="s">
        <v>176</v>
      </c>
      <c r="L25" s="46" t="s">
        <v>177</v>
      </c>
      <c r="M25" s="47" t="s">
        <v>73</v>
      </c>
      <c r="N25" s="47" t="s">
        <v>61</v>
      </c>
      <c r="O25" s="48" t="s">
        <v>159</v>
      </c>
      <c r="P25" s="49" t="s">
        <v>178</v>
      </c>
    </row>
    <row r="26" spans="1:16" ht="12.75" customHeight="1" thickBot="1" x14ac:dyDescent="0.25">
      <c r="A26" s="28" t="str">
        <f t="shared" si="0"/>
        <v>IBVS 6042 </v>
      </c>
      <c r="B26" s="5" t="str">
        <f t="shared" si="1"/>
        <v>I</v>
      </c>
      <c r="C26" s="28">
        <f t="shared" si="2"/>
        <v>56239.733099999998</v>
      </c>
      <c r="D26" s="10" t="str">
        <f t="shared" si="3"/>
        <v>vis</v>
      </c>
      <c r="E26" s="45">
        <f>VLOOKUP(C26,Active!C$21:E$973,3,FALSE)</f>
        <v>34800.047984046854</v>
      </c>
      <c r="F26" s="5" t="s">
        <v>61</v>
      </c>
      <c r="G26" s="10" t="str">
        <f t="shared" si="4"/>
        <v>56239.7331</v>
      </c>
      <c r="H26" s="28">
        <f t="shared" si="5"/>
        <v>7768</v>
      </c>
      <c r="I26" s="46" t="s">
        <v>179</v>
      </c>
      <c r="J26" s="47" t="s">
        <v>180</v>
      </c>
      <c r="K26" s="46" t="s">
        <v>181</v>
      </c>
      <c r="L26" s="46" t="s">
        <v>182</v>
      </c>
      <c r="M26" s="47" t="s">
        <v>73</v>
      </c>
      <c r="N26" s="47" t="s">
        <v>61</v>
      </c>
      <c r="O26" s="48" t="s">
        <v>159</v>
      </c>
      <c r="P26" s="49" t="s">
        <v>183</v>
      </c>
    </row>
    <row r="27" spans="1:16" ht="12.75" customHeight="1" thickBot="1" x14ac:dyDescent="0.25">
      <c r="A27" s="28" t="str">
        <f t="shared" si="0"/>
        <v>VSB 47 </v>
      </c>
      <c r="B27" s="5" t="str">
        <f t="shared" si="1"/>
        <v>I</v>
      </c>
      <c r="C27" s="28">
        <f t="shared" si="2"/>
        <v>50420.906999999999</v>
      </c>
      <c r="D27" s="10" t="str">
        <f t="shared" si="3"/>
        <v>vis</v>
      </c>
      <c r="E27" s="45">
        <f>VLOOKUP(C27,Active!C$21:E$973,3,FALSE)</f>
        <v>22712.999314513614</v>
      </c>
      <c r="F27" s="5" t="s">
        <v>61</v>
      </c>
      <c r="G27" s="10" t="str">
        <f t="shared" si="4"/>
        <v>50420.907</v>
      </c>
      <c r="H27" s="28">
        <f t="shared" si="5"/>
        <v>-4319</v>
      </c>
      <c r="I27" s="46" t="s">
        <v>70</v>
      </c>
      <c r="J27" s="47" t="s">
        <v>71</v>
      </c>
      <c r="K27" s="46">
        <v>-4319</v>
      </c>
      <c r="L27" s="46" t="s">
        <v>72</v>
      </c>
      <c r="M27" s="47" t="s">
        <v>73</v>
      </c>
      <c r="N27" s="47" t="s">
        <v>61</v>
      </c>
      <c r="O27" s="48" t="s">
        <v>74</v>
      </c>
      <c r="P27" s="49" t="s">
        <v>75</v>
      </c>
    </row>
    <row r="28" spans="1:16" ht="12.75" customHeight="1" thickBot="1" x14ac:dyDescent="0.25">
      <c r="A28" s="28" t="str">
        <f t="shared" si="0"/>
        <v>VSB 38 </v>
      </c>
      <c r="B28" s="5" t="str">
        <f t="shared" si="1"/>
        <v>II</v>
      </c>
      <c r="C28" s="28">
        <f t="shared" si="2"/>
        <v>51809.054199999999</v>
      </c>
      <c r="D28" s="10" t="str">
        <f t="shared" si="3"/>
        <v>vis</v>
      </c>
      <c r="E28" s="45">
        <f>VLOOKUP(C28,Active!C$21:E$973,3,FALSE)</f>
        <v>25596.502357657711</v>
      </c>
      <c r="F28" s="5" t="s">
        <v>61</v>
      </c>
      <c r="G28" s="10" t="str">
        <f t="shared" si="4"/>
        <v>51809.0542</v>
      </c>
      <c r="H28" s="28">
        <f t="shared" si="5"/>
        <v>-1435.5</v>
      </c>
      <c r="I28" s="46" t="s">
        <v>90</v>
      </c>
      <c r="J28" s="47" t="s">
        <v>91</v>
      </c>
      <c r="K28" s="46" t="s">
        <v>92</v>
      </c>
      <c r="L28" s="46" t="s">
        <v>93</v>
      </c>
      <c r="M28" s="47" t="s">
        <v>66</v>
      </c>
      <c r="N28" s="47" t="s">
        <v>67</v>
      </c>
      <c r="O28" s="48" t="s">
        <v>94</v>
      </c>
      <c r="P28" s="49" t="s">
        <v>95</v>
      </c>
    </row>
    <row r="29" spans="1:16" ht="12.75" customHeight="1" thickBot="1" x14ac:dyDescent="0.25">
      <c r="A29" s="28" t="str">
        <f t="shared" si="0"/>
        <v>VSB 40 </v>
      </c>
      <c r="B29" s="5" t="str">
        <f t="shared" si="1"/>
        <v>I</v>
      </c>
      <c r="C29" s="28">
        <f t="shared" si="2"/>
        <v>52497.231200000002</v>
      </c>
      <c r="D29" s="10" t="str">
        <f t="shared" si="3"/>
        <v>vis</v>
      </c>
      <c r="E29" s="45">
        <f>VLOOKUP(C29,Active!C$21:E$973,3,FALSE)</f>
        <v>27026.005276167929</v>
      </c>
      <c r="F29" s="5" t="s">
        <v>61</v>
      </c>
      <c r="G29" s="10" t="str">
        <f t="shared" si="4"/>
        <v>52497.2312</v>
      </c>
      <c r="H29" s="28">
        <f t="shared" si="5"/>
        <v>-6</v>
      </c>
      <c r="I29" s="46" t="s">
        <v>96</v>
      </c>
      <c r="J29" s="47" t="s">
        <v>97</v>
      </c>
      <c r="K29" s="46" t="s">
        <v>98</v>
      </c>
      <c r="L29" s="46" t="s">
        <v>99</v>
      </c>
      <c r="M29" s="47" t="s">
        <v>66</v>
      </c>
      <c r="N29" s="47" t="s">
        <v>67</v>
      </c>
      <c r="O29" s="48" t="s">
        <v>74</v>
      </c>
      <c r="P29" s="49" t="s">
        <v>100</v>
      </c>
    </row>
    <row r="30" spans="1:16" ht="12.75" customHeight="1" thickBot="1" x14ac:dyDescent="0.25">
      <c r="A30" s="28" t="str">
        <f t="shared" si="0"/>
        <v>VSB 44 </v>
      </c>
      <c r="B30" s="5" t="str">
        <f t="shared" si="1"/>
        <v>II</v>
      </c>
      <c r="C30" s="28">
        <f t="shared" si="2"/>
        <v>53621.081400000003</v>
      </c>
      <c r="D30" s="10" t="str">
        <f t="shared" si="3"/>
        <v>vis</v>
      </c>
      <c r="E30" s="45">
        <f>VLOOKUP(C30,Active!C$21:E$973,3,FALSE)</f>
        <v>29360.502274568462</v>
      </c>
      <c r="F30" s="5" t="s">
        <v>61</v>
      </c>
      <c r="G30" s="10" t="str">
        <f t="shared" si="4"/>
        <v>53621.0814</v>
      </c>
      <c r="H30" s="28">
        <f t="shared" si="5"/>
        <v>2328.5</v>
      </c>
      <c r="I30" s="46" t="s">
        <v>115</v>
      </c>
      <c r="J30" s="47" t="s">
        <v>116</v>
      </c>
      <c r="K30" s="46" t="s">
        <v>117</v>
      </c>
      <c r="L30" s="46" t="s">
        <v>118</v>
      </c>
      <c r="M30" s="47" t="s">
        <v>66</v>
      </c>
      <c r="N30" s="47" t="s">
        <v>67</v>
      </c>
      <c r="O30" s="48" t="s">
        <v>74</v>
      </c>
      <c r="P30" s="49" t="s">
        <v>119</v>
      </c>
    </row>
    <row r="31" spans="1:16" ht="12.75" customHeight="1" thickBot="1" x14ac:dyDescent="0.25">
      <c r="A31" s="28" t="str">
        <f t="shared" si="0"/>
        <v>VSB 45 </v>
      </c>
      <c r="B31" s="5" t="str">
        <f t="shared" si="1"/>
        <v>I</v>
      </c>
      <c r="C31" s="28">
        <f t="shared" si="2"/>
        <v>53972.268700000001</v>
      </c>
      <c r="D31" s="10" t="str">
        <f t="shared" si="3"/>
        <v>vis</v>
      </c>
      <c r="E31" s="45">
        <f>VLOOKUP(C31,Active!C$21:E$973,3,FALSE)</f>
        <v>30089.999584553709</v>
      </c>
      <c r="F31" s="5" t="s">
        <v>61</v>
      </c>
      <c r="G31" s="10" t="str">
        <f t="shared" si="4"/>
        <v>53972.2687</v>
      </c>
      <c r="H31" s="28">
        <f t="shared" si="5"/>
        <v>3058</v>
      </c>
      <c r="I31" s="46" t="s">
        <v>120</v>
      </c>
      <c r="J31" s="47" t="s">
        <v>121</v>
      </c>
      <c r="K31" s="46" t="s">
        <v>122</v>
      </c>
      <c r="L31" s="46" t="s">
        <v>123</v>
      </c>
      <c r="M31" s="47" t="s">
        <v>66</v>
      </c>
      <c r="N31" s="47" t="s">
        <v>67</v>
      </c>
      <c r="O31" s="48" t="s">
        <v>124</v>
      </c>
      <c r="P31" s="49" t="s">
        <v>125</v>
      </c>
    </row>
    <row r="32" spans="1:16" ht="12.75" customHeight="1" thickBot="1" x14ac:dyDescent="0.25">
      <c r="A32" s="28" t="str">
        <f t="shared" si="0"/>
        <v>VSB 45 </v>
      </c>
      <c r="B32" s="5" t="str">
        <f t="shared" si="1"/>
        <v>II</v>
      </c>
      <c r="C32" s="28">
        <f t="shared" si="2"/>
        <v>54023.060400000002</v>
      </c>
      <c r="D32" s="10" t="str">
        <f t="shared" si="3"/>
        <v>vis</v>
      </c>
      <c r="E32" s="45">
        <f>VLOOKUP(C32,Active!C$21:E$973,3,FALSE)</f>
        <v>30195.505702000377</v>
      </c>
      <c r="F32" s="5" t="s">
        <v>61</v>
      </c>
      <c r="G32" s="10" t="str">
        <f t="shared" si="4"/>
        <v>54023.0604</v>
      </c>
      <c r="H32" s="28">
        <f t="shared" si="5"/>
        <v>3163.5</v>
      </c>
      <c r="I32" s="46" t="s">
        <v>142</v>
      </c>
      <c r="J32" s="47" t="s">
        <v>143</v>
      </c>
      <c r="K32" s="46" t="s">
        <v>144</v>
      </c>
      <c r="L32" s="46" t="s">
        <v>145</v>
      </c>
      <c r="M32" s="47" t="s">
        <v>66</v>
      </c>
      <c r="N32" s="47" t="s">
        <v>67</v>
      </c>
      <c r="O32" s="48" t="s">
        <v>146</v>
      </c>
      <c r="P32" s="49" t="s">
        <v>125</v>
      </c>
    </row>
    <row r="33" spans="1:16" ht="12.75" customHeight="1" thickBot="1" x14ac:dyDescent="0.25">
      <c r="A33" s="28" t="str">
        <f t="shared" si="0"/>
        <v>VSB 48 </v>
      </c>
      <c r="B33" s="5" t="str">
        <f t="shared" si="1"/>
        <v>II</v>
      </c>
      <c r="C33" s="28">
        <f t="shared" si="2"/>
        <v>54775.029600000002</v>
      </c>
      <c r="D33" s="10" t="str">
        <f t="shared" si="3"/>
        <v>vis</v>
      </c>
      <c r="E33" s="45">
        <f>VLOOKUP(C33,Active!C$21:E$973,3,FALSE)</f>
        <v>31757.519785629716</v>
      </c>
      <c r="F33" s="5" t="s">
        <v>61</v>
      </c>
      <c r="G33" s="10" t="str">
        <f t="shared" si="4"/>
        <v>54775.0296</v>
      </c>
      <c r="H33" s="28">
        <f t="shared" si="5"/>
        <v>4725.5</v>
      </c>
      <c r="I33" s="46" t="s">
        <v>161</v>
      </c>
      <c r="J33" s="47" t="s">
        <v>162</v>
      </c>
      <c r="K33" s="46" t="s">
        <v>163</v>
      </c>
      <c r="L33" s="46" t="s">
        <v>164</v>
      </c>
      <c r="M33" s="47" t="s">
        <v>73</v>
      </c>
      <c r="N33" s="47" t="s">
        <v>165</v>
      </c>
      <c r="O33" s="48" t="s">
        <v>166</v>
      </c>
      <c r="P33" s="49" t="s">
        <v>167</v>
      </c>
    </row>
    <row r="34" spans="1:16" ht="12.75" customHeight="1" thickBot="1" x14ac:dyDescent="0.25">
      <c r="A34" s="28" t="str">
        <f t="shared" si="0"/>
        <v>VSB 50 </v>
      </c>
      <c r="B34" s="5" t="str">
        <f t="shared" si="1"/>
        <v>II</v>
      </c>
      <c r="C34" s="28">
        <f t="shared" si="2"/>
        <v>55138.971299999997</v>
      </c>
      <c r="D34" s="10" t="str">
        <f t="shared" si="3"/>
        <v>vis</v>
      </c>
      <c r="E34" s="45">
        <f>VLOOKUP(C34,Active!C$21:E$973,3,FALSE)</f>
        <v>32513.510936623661</v>
      </c>
      <c r="F34" s="5" t="s">
        <v>61</v>
      </c>
      <c r="G34" s="10" t="str">
        <f t="shared" si="4"/>
        <v>55138.9713</v>
      </c>
      <c r="H34" s="28">
        <f t="shared" si="5"/>
        <v>5481.5</v>
      </c>
      <c r="I34" s="46" t="s">
        <v>168</v>
      </c>
      <c r="J34" s="47" t="s">
        <v>169</v>
      </c>
      <c r="K34" s="46" t="s">
        <v>170</v>
      </c>
      <c r="L34" s="46" t="s">
        <v>171</v>
      </c>
      <c r="M34" s="47" t="s">
        <v>73</v>
      </c>
      <c r="N34" s="47" t="s">
        <v>172</v>
      </c>
      <c r="O34" s="48" t="s">
        <v>74</v>
      </c>
      <c r="P34" s="49" t="s">
        <v>173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</sheetData>
  <phoneticPr fontId="8" type="noConversion"/>
  <hyperlinks>
    <hyperlink ref="A3" r:id="rId1" xr:uid="{00000000-0004-0000-0100-000000000000}"/>
    <hyperlink ref="P27" r:id="rId2" display="http://vsolj.cetus-net.org/no47.pdf" xr:uid="{00000000-0004-0000-0100-000001000000}"/>
    <hyperlink ref="P12" r:id="rId3" display="http://www.bav-astro.de/sfs/BAVM_link.php?BAVMnr=117" xr:uid="{00000000-0004-0000-0100-000002000000}"/>
    <hyperlink ref="P13" r:id="rId4" display="http://vsolj.cetus-net.org/no47.pdf" xr:uid="{00000000-0004-0000-0100-000003000000}"/>
    <hyperlink ref="P14" r:id="rId5" display="http://www.bav-astro.de/sfs/BAVM_link.php?BAVMnr=132" xr:uid="{00000000-0004-0000-0100-000004000000}"/>
    <hyperlink ref="P28" r:id="rId6" display="http://vsolj.cetus-net.org/no38.pdf" xr:uid="{00000000-0004-0000-0100-000005000000}"/>
    <hyperlink ref="P29" r:id="rId7" display="http://vsolj.cetus-net.org/no40.pdf" xr:uid="{00000000-0004-0000-0100-000006000000}"/>
    <hyperlink ref="P15" r:id="rId8" display="http://www.konkoly.hu/cgi-bin/IBVS?5843" xr:uid="{00000000-0004-0000-0100-000007000000}"/>
    <hyperlink ref="P16" r:id="rId9" display="http://www.konkoly.hu/cgi-bin/IBVS?5843" xr:uid="{00000000-0004-0000-0100-000008000000}"/>
    <hyperlink ref="P17" r:id="rId10" display="http://www.konkoly.hu/cgi-bin/IBVS?5843" xr:uid="{00000000-0004-0000-0100-000009000000}"/>
    <hyperlink ref="P30" r:id="rId11" display="http://vsolj.cetus-net.org/no44.pdf" xr:uid="{00000000-0004-0000-0100-00000A000000}"/>
    <hyperlink ref="P31" r:id="rId12" display="http://vsolj.cetus-net.org/no45.pdf" xr:uid="{00000000-0004-0000-0100-00000B000000}"/>
    <hyperlink ref="P18" r:id="rId13" display="http://www.konkoly.hu/cgi-bin/IBVS?5843" xr:uid="{00000000-0004-0000-0100-00000C000000}"/>
    <hyperlink ref="P19" r:id="rId14" display="http://www.konkoly.hu/cgi-bin/IBVS?5843" xr:uid="{00000000-0004-0000-0100-00000D000000}"/>
    <hyperlink ref="P20" r:id="rId15" display="http://www.konkoly.hu/cgi-bin/IBVS?5843" xr:uid="{00000000-0004-0000-0100-00000E000000}"/>
    <hyperlink ref="P21" r:id="rId16" display="http://www.konkoly.hu/cgi-bin/IBVS?5843" xr:uid="{00000000-0004-0000-0100-00000F000000}"/>
    <hyperlink ref="P32" r:id="rId17" display="http://vsolj.cetus-net.org/no45.pdf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71" xr:uid="{00000000-0004-0000-0100-000013000000}"/>
    <hyperlink ref="P33" r:id="rId21" display="http://vsolj.cetus-net.org/no48.pdf" xr:uid="{00000000-0004-0000-0100-000014000000}"/>
    <hyperlink ref="P34" r:id="rId22" display="http://vsolj.cetus-net.org/vsoljno50.pdf" xr:uid="{00000000-0004-0000-0100-000015000000}"/>
    <hyperlink ref="P25" r:id="rId23" display="http://www.konkoly.hu/cgi-bin/IBVS?5960" xr:uid="{00000000-0004-0000-0100-000016000000}"/>
    <hyperlink ref="P26" r:id="rId24" display="http://www.konkoly.hu/cgi-bin/IBVS?6042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2023-08-07T00:19:27Z</dcterms:modified>
</cp:coreProperties>
</file>