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8C59F6-2622-4940-87FA-C778BCF8CFD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4" i="1" l="1"/>
  <c r="F124" i="1" s="1"/>
  <c r="Q124" i="1"/>
  <c r="E118" i="1"/>
  <c r="F118" i="1" s="1"/>
  <c r="Q118" i="1"/>
  <c r="E119" i="1"/>
  <c r="F119" i="1" s="1"/>
  <c r="G119" i="1" s="1"/>
  <c r="K119" i="1" s="1"/>
  <c r="Q119" i="1"/>
  <c r="E120" i="1"/>
  <c r="F120" i="1" s="1"/>
  <c r="Q120" i="1"/>
  <c r="E121" i="1"/>
  <c r="F121" i="1" s="1"/>
  <c r="Q121" i="1"/>
  <c r="E122" i="1"/>
  <c r="F122" i="1"/>
  <c r="Q122" i="1"/>
  <c r="E123" i="1"/>
  <c r="F123" i="1" s="1"/>
  <c r="Q123" i="1"/>
  <c r="Q117" i="1"/>
  <c r="D11" i="1"/>
  <c r="W8" i="1" s="1"/>
  <c r="D12" i="1"/>
  <c r="Q114" i="1"/>
  <c r="Q116" i="1"/>
  <c r="D13" i="1"/>
  <c r="C6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79" i="1"/>
  <c r="Q80" i="1"/>
  <c r="Q81" i="1"/>
  <c r="Q82" i="1"/>
  <c r="Q83" i="1"/>
  <c r="Q84" i="1"/>
  <c r="Q73" i="1"/>
  <c r="Q69" i="1"/>
  <c r="Q90" i="1"/>
  <c r="Q70" i="1"/>
  <c r="Q72" i="1"/>
  <c r="Q65" i="1"/>
  <c r="Q100" i="1"/>
  <c r="Q101" i="1"/>
  <c r="Q103" i="1"/>
  <c r="Q66" i="1"/>
  <c r="Q104" i="1"/>
  <c r="Q105" i="1"/>
  <c r="Q108" i="1"/>
  <c r="Q110" i="1"/>
  <c r="Q112" i="1"/>
  <c r="Q64" i="1"/>
  <c r="Q62" i="1"/>
  <c r="Q63" i="1"/>
  <c r="Q115" i="1"/>
  <c r="G97" i="2"/>
  <c r="C97" i="2"/>
  <c r="G32" i="2"/>
  <c r="C32" i="2"/>
  <c r="G96" i="2"/>
  <c r="C96" i="2"/>
  <c r="G95" i="2"/>
  <c r="C95" i="2"/>
  <c r="G94" i="2"/>
  <c r="C94" i="2"/>
  <c r="G93" i="2"/>
  <c r="C93" i="2"/>
  <c r="G92" i="2"/>
  <c r="C92" i="2"/>
  <c r="G31" i="2"/>
  <c r="C31" i="2"/>
  <c r="G91" i="2"/>
  <c r="C91" i="2"/>
  <c r="G30" i="2"/>
  <c r="C30" i="2"/>
  <c r="G29" i="2"/>
  <c r="C29" i="2"/>
  <c r="G90" i="2"/>
  <c r="C90" i="2"/>
  <c r="G89" i="2"/>
  <c r="C89" i="2"/>
  <c r="G88" i="2"/>
  <c r="C88" i="2"/>
  <c r="G87" i="2"/>
  <c r="C87" i="2"/>
  <c r="G28" i="2"/>
  <c r="C28" i="2"/>
  <c r="G86" i="2"/>
  <c r="C86" i="2"/>
  <c r="G85" i="2"/>
  <c r="C85" i="2"/>
  <c r="G84" i="2"/>
  <c r="C84" i="2"/>
  <c r="G27" i="2"/>
  <c r="C27" i="2"/>
  <c r="G83" i="2"/>
  <c r="C83" i="2"/>
  <c r="G26" i="2"/>
  <c r="C26" i="2"/>
  <c r="G82" i="2"/>
  <c r="C82" i="2"/>
  <c r="G25" i="2"/>
  <c r="C25" i="2"/>
  <c r="G24" i="2"/>
  <c r="C24" i="2"/>
  <c r="G81" i="2"/>
  <c r="C81" i="2"/>
  <c r="G80" i="2"/>
  <c r="C80" i="2"/>
  <c r="G79" i="2"/>
  <c r="C7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97" i="2"/>
  <c r="B97" i="2"/>
  <c r="D97" i="2"/>
  <c r="A97" i="2"/>
  <c r="H32" i="2"/>
  <c r="B32" i="2"/>
  <c r="D32" i="2"/>
  <c r="A3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31" i="2"/>
  <c r="B31" i="2"/>
  <c r="D31" i="2"/>
  <c r="A31" i="2"/>
  <c r="H91" i="2"/>
  <c r="B91" i="2"/>
  <c r="D91" i="2"/>
  <c r="A91" i="2"/>
  <c r="H30" i="2"/>
  <c r="B30" i="2"/>
  <c r="D30" i="2"/>
  <c r="A30" i="2"/>
  <c r="H29" i="2"/>
  <c r="B29" i="2"/>
  <c r="D29" i="2"/>
  <c r="A29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28" i="2"/>
  <c r="B28" i="2"/>
  <c r="F28" i="2"/>
  <c r="D28" i="2"/>
  <c r="A28" i="2"/>
  <c r="H86" i="2"/>
  <c r="F86" i="2"/>
  <c r="D86" i="2"/>
  <c r="B86" i="2"/>
  <c r="A86" i="2"/>
  <c r="H85" i="2"/>
  <c r="B85" i="2"/>
  <c r="F85" i="2"/>
  <c r="D85" i="2"/>
  <c r="A85" i="2"/>
  <c r="H84" i="2"/>
  <c r="B84" i="2"/>
  <c r="F84" i="2"/>
  <c r="D84" i="2"/>
  <c r="A84" i="2"/>
  <c r="H27" i="2"/>
  <c r="B27" i="2"/>
  <c r="F27" i="2"/>
  <c r="D27" i="2"/>
  <c r="A27" i="2"/>
  <c r="H83" i="2"/>
  <c r="B83" i="2"/>
  <c r="D83" i="2"/>
  <c r="A83" i="2"/>
  <c r="H26" i="2"/>
  <c r="D26" i="2"/>
  <c r="B26" i="2"/>
  <c r="A26" i="2"/>
  <c r="H82" i="2"/>
  <c r="B82" i="2"/>
  <c r="D82" i="2"/>
  <c r="A82" i="2"/>
  <c r="H25" i="2"/>
  <c r="D25" i="2"/>
  <c r="B25" i="2"/>
  <c r="A25" i="2"/>
  <c r="H24" i="2"/>
  <c r="B24" i="2"/>
  <c r="D24" i="2"/>
  <c r="A24" i="2"/>
  <c r="H81" i="2"/>
  <c r="D81" i="2"/>
  <c r="B81" i="2"/>
  <c r="A81" i="2"/>
  <c r="H80" i="2"/>
  <c r="B80" i="2"/>
  <c r="D80" i="2"/>
  <c r="A80" i="2"/>
  <c r="H79" i="2"/>
  <c r="D79" i="2"/>
  <c r="B79" i="2"/>
  <c r="A79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Q113" i="1"/>
  <c r="Q85" i="1"/>
  <c r="Q111" i="1"/>
  <c r="F16" i="1"/>
  <c r="F17" i="1" s="1"/>
  <c r="C17" i="1"/>
  <c r="Q106" i="1"/>
  <c r="Q107" i="1"/>
  <c r="Q109" i="1"/>
  <c r="Q87" i="1"/>
  <c r="Q102" i="1"/>
  <c r="Q99" i="1"/>
  <c r="Q96" i="1"/>
  <c r="Q86" i="1"/>
  <c r="Q77" i="1"/>
  <c r="Q68" i="1"/>
  <c r="Q71" i="1"/>
  <c r="Q74" i="1"/>
  <c r="Q75" i="1"/>
  <c r="Q76" i="1"/>
  <c r="Q67" i="1"/>
  <c r="Q78" i="1"/>
  <c r="Q88" i="1"/>
  <c r="Q89" i="1"/>
  <c r="Q91" i="1"/>
  <c r="Q92" i="1"/>
  <c r="Q93" i="1"/>
  <c r="Q94" i="1"/>
  <c r="Q95" i="1"/>
  <c r="Q97" i="1"/>
  <c r="Q98" i="1"/>
  <c r="Q61" i="1"/>
  <c r="E78" i="2"/>
  <c r="E89" i="2"/>
  <c r="E117" i="1"/>
  <c r="F117" i="1"/>
  <c r="G117" i="1" s="1"/>
  <c r="K117" i="1" s="1"/>
  <c r="E104" i="1"/>
  <c r="F104" i="1"/>
  <c r="E112" i="1"/>
  <c r="E94" i="1"/>
  <c r="F94" i="1" s="1"/>
  <c r="G94" i="1" s="1"/>
  <c r="J94" i="1" s="1"/>
  <c r="E98" i="1"/>
  <c r="F98" i="1" s="1"/>
  <c r="E49" i="1"/>
  <c r="F49" i="1" s="1"/>
  <c r="E57" i="1"/>
  <c r="E69" i="2" s="1"/>
  <c r="E83" i="1"/>
  <c r="F83" i="1"/>
  <c r="E90" i="1"/>
  <c r="F90" i="1" s="1"/>
  <c r="E62" i="1"/>
  <c r="F62" i="1"/>
  <c r="G62" i="1" s="1"/>
  <c r="I62" i="1" s="1"/>
  <c r="E67" i="1"/>
  <c r="F67" i="1" s="1"/>
  <c r="E86" i="1"/>
  <c r="F86" i="1"/>
  <c r="G86" i="1" s="1"/>
  <c r="J86" i="1" s="1"/>
  <c r="E107" i="1"/>
  <c r="F107" i="1" s="1"/>
  <c r="E116" i="1"/>
  <c r="F116" i="1" s="1"/>
  <c r="G116" i="1" s="1"/>
  <c r="I116" i="1" s="1"/>
  <c r="E35" i="1"/>
  <c r="F35" i="1" s="1"/>
  <c r="G35" i="1" s="1"/>
  <c r="H35" i="1" s="1"/>
  <c r="E41" i="1"/>
  <c r="F41" i="1" s="1"/>
  <c r="E32" i="1"/>
  <c r="F32" i="1" s="1"/>
  <c r="E25" i="1"/>
  <c r="F25" i="1" s="1"/>
  <c r="E29" i="1"/>
  <c r="F29" i="1" s="1"/>
  <c r="G29" i="1" s="1"/>
  <c r="H29" i="1" s="1"/>
  <c r="E52" i="1"/>
  <c r="F52" i="1" s="1"/>
  <c r="E60" i="1"/>
  <c r="E72" i="2" s="1"/>
  <c r="F60" i="1"/>
  <c r="E84" i="1"/>
  <c r="F84" i="1"/>
  <c r="E70" i="1"/>
  <c r="E82" i="2" s="1"/>
  <c r="E89" i="1"/>
  <c r="F89" i="1"/>
  <c r="E102" i="1"/>
  <c r="E28" i="2" s="1"/>
  <c r="E110" i="1"/>
  <c r="F110" i="1"/>
  <c r="G110" i="1" s="1"/>
  <c r="K110" i="1" s="1"/>
  <c r="E91" i="1"/>
  <c r="F91" i="1"/>
  <c r="E95" i="1"/>
  <c r="F95" i="1" s="1"/>
  <c r="E99" i="1"/>
  <c r="F99" i="1" s="1"/>
  <c r="E47" i="1"/>
  <c r="F47" i="1" s="1"/>
  <c r="E55" i="1"/>
  <c r="F55" i="1"/>
  <c r="G55" i="1" s="1"/>
  <c r="H55" i="1" s="1"/>
  <c r="E73" i="1"/>
  <c r="E79" i="2" s="1"/>
  <c r="E66" i="1"/>
  <c r="E114" i="1"/>
  <c r="F114" i="1" s="1"/>
  <c r="E105" i="1"/>
  <c r="F105" i="1" s="1"/>
  <c r="E113" i="1"/>
  <c r="F113" i="1" s="1"/>
  <c r="E44" i="1"/>
  <c r="F44" i="1" s="1"/>
  <c r="G44" i="1" s="1"/>
  <c r="H44" i="1" s="1"/>
  <c r="E38" i="1"/>
  <c r="E42" i="1"/>
  <c r="F42" i="1" s="1"/>
  <c r="G42" i="1" s="1"/>
  <c r="H42" i="1" s="1"/>
  <c r="E22" i="1"/>
  <c r="E26" i="1"/>
  <c r="F26" i="1" s="1"/>
  <c r="E30" i="1"/>
  <c r="E50" i="1"/>
  <c r="F50" i="1" s="1"/>
  <c r="E58" i="1"/>
  <c r="E70" i="2" s="1"/>
  <c r="F58" i="1"/>
  <c r="G60" i="1"/>
  <c r="H60" i="1" s="1"/>
  <c r="E63" i="1"/>
  <c r="F63" i="1" s="1"/>
  <c r="E75" i="1"/>
  <c r="F75" i="1" s="1"/>
  <c r="E100" i="1"/>
  <c r="F100" i="1" s="1"/>
  <c r="E108" i="1"/>
  <c r="F108" i="1"/>
  <c r="G108" i="1" s="1"/>
  <c r="K108" i="1" s="1"/>
  <c r="E92" i="1"/>
  <c r="E24" i="2" s="1"/>
  <c r="F92" i="1"/>
  <c r="G92" i="1" s="1"/>
  <c r="J92" i="1" s="1"/>
  <c r="E96" i="1"/>
  <c r="F96" i="1" s="1"/>
  <c r="G84" i="1"/>
  <c r="J84" i="1" s="1"/>
  <c r="E45" i="1"/>
  <c r="F45" i="1" s="1"/>
  <c r="E53" i="1"/>
  <c r="F53" i="1" s="1"/>
  <c r="E79" i="1"/>
  <c r="F79" i="1" s="1"/>
  <c r="E72" i="1"/>
  <c r="F72" i="1" s="1"/>
  <c r="G72" i="1" s="1"/>
  <c r="I72" i="1" s="1"/>
  <c r="E61" i="1"/>
  <c r="F61" i="1" s="1"/>
  <c r="E103" i="1"/>
  <c r="E87" i="2" s="1"/>
  <c r="E111" i="1"/>
  <c r="F111" i="1" s="1"/>
  <c r="E37" i="1"/>
  <c r="F37" i="1" s="1"/>
  <c r="E39" i="1"/>
  <c r="F39" i="1"/>
  <c r="G39" i="1" s="1"/>
  <c r="H39" i="1" s="1"/>
  <c r="E43" i="1"/>
  <c r="F43" i="1"/>
  <c r="G43" i="1"/>
  <c r="H43" i="1" s="1"/>
  <c r="E23" i="1"/>
  <c r="F23" i="1"/>
  <c r="G23" i="1" s="1"/>
  <c r="H23" i="1" s="1"/>
  <c r="E27" i="1"/>
  <c r="F27" i="1"/>
  <c r="G27" i="1"/>
  <c r="H27" i="1" s="1"/>
  <c r="E31" i="1"/>
  <c r="F31" i="1"/>
  <c r="G31" i="1" s="1"/>
  <c r="H31" i="1" s="1"/>
  <c r="E48" i="1"/>
  <c r="E60" i="2" s="1"/>
  <c r="E56" i="1"/>
  <c r="F56" i="1" s="1"/>
  <c r="G58" i="1"/>
  <c r="H58" i="1"/>
  <c r="E80" i="1"/>
  <c r="E69" i="1"/>
  <c r="F69" i="1"/>
  <c r="G69" i="1" s="1"/>
  <c r="I69" i="1" s="1"/>
  <c r="E64" i="1"/>
  <c r="F64" i="1"/>
  <c r="G64" i="1" s="1"/>
  <c r="I64" i="1" s="1"/>
  <c r="E74" i="1"/>
  <c r="E18" i="2" s="1"/>
  <c r="E106" i="1"/>
  <c r="F106" i="1" s="1"/>
  <c r="G106" i="1" s="1"/>
  <c r="K106" i="1" s="1"/>
  <c r="E115" i="1"/>
  <c r="F115" i="1" s="1"/>
  <c r="E93" i="1"/>
  <c r="F93" i="1" s="1"/>
  <c r="E97" i="1"/>
  <c r="F97" i="1"/>
  <c r="G97" i="1" s="1"/>
  <c r="J97" i="1" s="1"/>
  <c r="E101" i="1"/>
  <c r="E86" i="2" s="1"/>
  <c r="E109" i="1"/>
  <c r="F109" i="1"/>
  <c r="G89" i="1"/>
  <c r="J89" i="1" s="1"/>
  <c r="E36" i="1"/>
  <c r="F36" i="1" s="1"/>
  <c r="G36" i="1" s="1"/>
  <c r="H36" i="1" s="1"/>
  <c r="E40" i="1"/>
  <c r="F40" i="1" s="1"/>
  <c r="G40" i="1" s="1"/>
  <c r="H40" i="1" s="1"/>
  <c r="E33" i="1"/>
  <c r="F33" i="1"/>
  <c r="G33" i="1" s="1"/>
  <c r="H33" i="1" s="1"/>
  <c r="E24" i="1"/>
  <c r="F24" i="1" s="1"/>
  <c r="G24" i="1" s="1"/>
  <c r="H24" i="1" s="1"/>
  <c r="E28" i="1"/>
  <c r="F28" i="1" s="1"/>
  <c r="G28" i="1" s="1"/>
  <c r="H28" i="1" s="1"/>
  <c r="E21" i="1"/>
  <c r="F21" i="1"/>
  <c r="G21" i="1" s="1"/>
  <c r="H21" i="1" s="1"/>
  <c r="E34" i="1"/>
  <c r="F34" i="1" s="1"/>
  <c r="E46" i="1"/>
  <c r="E58" i="2" s="1"/>
  <c r="E54" i="1"/>
  <c r="F54" i="1" s="1"/>
  <c r="E82" i="1"/>
  <c r="F82" i="1"/>
  <c r="G82" i="1" s="1"/>
  <c r="J82" i="1" s="1"/>
  <c r="E65" i="1"/>
  <c r="F65" i="1"/>
  <c r="G65" i="1"/>
  <c r="I65" i="1" s="1"/>
  <c r="E76" i="1"/>
  <c r="F76" i="1"/>
  <c r="G76" i="1" s="1"/>
  <c r="I76" i="1" s="1"/>
  <c r="E68" i="1"/>
  <c r="E16" i="2" s="1"/>
  <c r="E85" i="1"/>
  <c r="E12" i="2" s="1"/>
  <c r="F85" i="1"/>
  <c r="G85" i="1" s="1"/>
  <c r="J85" i="1" s="1"/>
  <c r="E81" i="1"/>
  <c r="F81" i="1"/>
  <c r="G81" i="1" s="1"/>
  <c r="J81" i="1" s="1"/>
  <c r="E71" i="1"/>
  <c r="E17" i="2" s="1"/>
  <c r="E59" i="1"/>
  <c r="F59" i="1"/>
  <c r="E88" i="1"/>
  <c r="F88" i="1" s="1"/>
  <c r="G88" i="1" s="1"/>
  <c r="J88" i="1" s="1"/>
  <c r="E78" i="1"/>
  <c r="E87" i="1"/>
  <c r="E14" i="2" s="1"/>
  <c r="E77" i="1"/>
  <c r="F77" i="1"/>
  <c r="G77" i="1" s="1"/>
  <c r="I77" i="1" s="1"/>
  <c r="E51" i="1"/>
  <c r="E63" i="2" s="1"/>
  <c r="W17" i="1"/>
  <c r="G109" i="1"/>
  <c r="J109" i="1" s="1"/>
  <c r="G59" i="1"/>
  <c r="H59" i="1" s="1"/>
  <c r="F30" i="1"/>
  <c r="E42" i="2"/>
  <c r="G104" i="1"/>
  <c r="K104" i="1"/>
  <c r="E25" i="2"/>
  <c r="E95" i="2"/>
  <c r="E40" i="2"/>
  <c r="E94" i="2"/>
  <c r="E53" i="2"/>
  <c r="E77" i="2"/>
  <c r="E26" i="2"/>
  <c r="F78" i="1"/>
  <c r="E22" i="2"/>
  <c r="G91" i="1"/>
  <c r="J91" i="1" s="1"/>
  <c r="E13" i="2"/>
  <c r="E27" i="2"/>
  <c r="E30" i="2"/>
  <c r="E76" i="2"/>
  <c r="E19" i="2"/>
  <c r="F22" i="1"/>
  <c r="E34" i="2"/>
  <c r="F66" i="1"/>
  <c r="E88" i="2"/>
  <c r="E32" i="2"/>
  <c r="E75" i="2"/>
  <c r="E43" i="2"/>
  <c r="E67" i="2"/>
  <c r="E61" i="2"/>
  <c r="F46" i="1"/>
  <c r="F80" i="1"/>
  <c r="E74" i="2"/>
  <c r="E92" i="2"/>
  <c r="E71" i="2"/>
  <c r="E91" i="2"/>
  <c r="E39" i="2"/>
  <c r="E62" i="2"/>
  <c r="E57" i="2"/>
  <c r="E45" i="2"/>
  <c r="E65" i="2"/>
  <c r="E52" i="2"/>
  <c r="E37" i="2"/>
  <c r="E51" i="2"/>
  <c r="F112" i="1"/>
  <c r="E93" i="2"/>
  <c r="E85" i="2"/>
  <c r="E96" i="2"/>
  <c r="E48" i="2"/>
  <c r="E33" i="2"/>
  <c r="E47" i="2"/>
  <c r="E31" i="2"/>
  <c r="E35" i="2"/>
  <c r="E55" i="2"/>
  <c r="E64" i="2"/>
  <c r="E15" i="2"/>
  <c r="E80" i="2"/>
  <c r="E56" i="2"/>
  <c r="F38" i="1"/>
  <c r="E50" i="2"/>
  <c r="E84" i="2"/>
  <c r="E44" i="2"/>
  <c r="E54" i="2"/>
  <c r="E20" i="2"/>
  <c r="E90" i="2"/>
  <c r="E97" i="2"/>
  <c r="G78" i="1"/>
  <c r="I78" i="1"/>
  <c r="G38" i="1"/>
  <c r="H38" i="1" s="1"/>
  <c r="G66" i="1"/>
  <c r="I66" i="1" s="1"/>
  <c r="G112" i="1"/>
  <c r="G22" i="1"/>
  <c r="H22" i="1"/>
  <c r="G30" i="1"/>
  <c r="H30" i="1"/>
  <c r="G80" i="1"/>
  <c r="J80" i="1" s="1"/>
  <c r="K112" i="1"/>
  <c r="W23" i="1" l="1"/>
  <c r="P80" i="1"/>
  <c r="P112" i="1"/>
  <c r="R112" i="1" s="1"/>
  <c r="T112" i="1" s="1"/>
  <c r="P27" i="1"/>
  <c r="P22" i="1"/>
  <c r="R22" i="1" s="1"/>
  <c r="T22" i="1" s="1"/>
  <c r="P78" i="1"/>
  <c r="R78" i="1" s="1"/>
  <c r="T78" i="1" s="1"/>
  <c r="P64" i="1"/>
  <c r="W5" i="1"/>
  <c r="W7" i="1"/>
  <c r="P43" i="1"/>
  <c r="R43" i="1" s="1"/>
  <c r="T43" i="1" s="1"/>
  <c r="P55" i="1"/>
  <c r="P110" i="1"/>
  <c r="W13" i="1"/>
  <c r="W19" i="1"/>
  <c r="W29" i="1"/>
  <c r="W31" i="1"/>
  <c r="W22" i="1"/>
  <c r="P82" i="1"/>
  <c r="W6" i="1"/>
  <c r="W33" i="1"/>
  <c r="P83" i="1"/>
  <c r="P30" i="1"/>
  <c r="P66" i="1"/>
  <c r="R66" i="1" s="1"/>
  <c r="T66" i="1" s="1"/>
  <c r="W12" i="1"/>
  <c r="P46" i="1"/>
  <c r="W26" i="1"/>
  <c r="W28" i="1"/>
  <c r="P60" i="1"/>
  <c r="R60" i="1" s="1"/>
  <c r="T60" i="1" s="1"/>
  <c r="P65" i="1"/>
  <c r="R65" i="1" s="1"/>
  <c r="T65" i="1" s="1"/>
  <c r="P109" i="1"/>
  <c r="R109" i="1" s="1"/>
  <c r="T109" i="1" s="1"/>
  <c r="P58" i="1"/>
  <c r="R58" i="1" s="1"/>
  <c r="T58" i="1" s="1"/>
  <c r="W27" i="1"/>
  <c r="P38" i="1"/>
  <c r="W34" i="1"/>
  <c r="P92" i="1"/>
  <c r="P76" i="1"/>
  <c r="G50" i="1"/>
  <c r="H50" i="1" s="1"/>
  <c r="P50" i="1"/>
  <c r="P54" i="1"/>
  <c r="R54" i="1" s="1"/>
  <c r="T54" i="1" s="1"/>
  <c r="G54" i="1"/>
  <c r="H54" i="1" s="1"/>
  <c r="G100" i="1"/>
  <c r="J100" i="1" s="1"/>
  <c r="P100" i="1"/>
  <c r="G114" i="1"/>
  <c r="K114" i="1" s="1"/>
  <c r="P114" i="1"/>
  <c r="R114" i="1" s="1"/>
  <c r="T114" i="1" s="1"/>
  <c r="P41" i="1"/>
  <c r="R41" i="1" s="1"/>
  <c r="T41" i="1" s="1"/>
  <c r="G41" i="1"/>
  <c r="H41" i="1" s="1"/>
  <c r="P93" i="1"/>
  <c r="R93" i="1" s="1"/>
  <c r="T93" i="1" s="1"/>
  <c r="G93" i="1"/>
  <c r="J93" i="1" s="1"/>
  <c r="P45" i="1"/>
  <c r="R45" i="1" s="1"/>
  <c r="T45" i="1" s="1"/>
  <c r="G45" i="1"/>
  <c r="H45" i="1" s="1"/>
  <c r="G75" i="1"/>
  <c r="I75" i="1" s="1"/>
  <c r="P75" i="1"/>
  <c r="R75" i="1" s="1"/>
  <c r="T75" i="1" s="1"/>
  <c r="P26" i="1"/>
  <c r="R26" i="1" s="1"/>
  <c r="T26" i="1" s="1"/>
  <c r="G26" i="1"/>
  <c r="H26" i="1" s="1"/>
  <c r="G90" i="1"/>
  <c r="J90" i="1" s="1"/>
  <c r="P90" i="1"/>
  <c r="P34" i="1"/>
  <c r="R34" i="1" s="1"/>
  <c r="T34" i="1" s="1"/>
  <c r="G34" i="1"/>
  <c r="H34" i="1" s="1"/>
  <c r="G115" i="1"/>
  <c r="K115" i="1" s="1"/>
  <c r="P115" i="1"/>
  <c r="R115" i="1" s="1"/>
  <c r="T115" i="1" s="1"/>
  <c r="P37" i="1"/>
  <c r="R37" i="1" s="1"/>
  <c r="T37" i="1" s="1"/>
  <c r="G37" i="1"/>
  <c r="H37" i="1" s="1"/>
  <c r="G63" i="1"/>
  <c r="I63" i="1" s="1"/>
  <c r="P63" i="1"/>
  <c r="P79" i="1"/>
  <c r="R79" i="1" s="1"/>
  <c r="T79" i="1" s="1"/>
  <c r="G79" i="1"/>
  <c r="J79" i="1" s="1"/>
  <c r="G95" i="1"/>
  <c r="J95" i="1" s="1"/>
  <c r="P95" i="1"/>
  <c r="P111" i="1"/>
  <c r="G111" i="1"/>
  <c r="K111" i="1" s="1"/>
  <c r="G96" i="1"/>
  <c r="J96" i="1" s="1"/>
  <c r="P96" i="1"/>
  <c r="R96" i="1" s="1"/>
  <c r="T96" i="1" s="1"/>
  <c r="P107" i="1"/>
  <c r="R107" i="1" s="1"/>
  <c r="T107" i="1" s="1"/>
  <c r="G107" i="1"/>
  <c r="K107" i="1" s="1"/>
  <c r="G105" i="1"/>
  <c r="K105" i="1" s="1"/>
  <c r="P105" i="1"/>
  <c r="G56" i="1"/>
  <c r="H56" i="1" s="1"/>
  <c r="P56" i="1"/>
  <c r="G52" i="1"/>
  <c r="H52" i="1" s="1"/>
  <c r="P52" i="1"/>
  <c r="P53" i="1"/>
  <c r="G53" i="1"/>
  <c r="H53" i="1" s="1"/>
  <c r="G61" i="1"/>
  <c r="I61" i="1" s="1"/>
  <c r="P61" i="1"/>
  <c r="P47" i="1"/>
  <c r="R47" i="1" s="1"/>
  <c r="T47" i="1" s="1"/>
  <c r="G47" i="1"/>
  <c r="H47" i="1" s="1"/>
  <c r="P49" i="1"/>
  <c r="R49" i="1" s="1"/>
  <c r="T49" i="1" s="1"/>
  <c r="G49" i="1"/>
  <c r="H49" i="1" s="1"/>
  <c r="P32" i="1"/>
  <c r="G32" i="1"/>
  <c r="H32" i="1" s="1"/>
  <c r="G113" i="1"/>
  <c r="K113" i="1" s="1"/>
  <c r="P113" i="1"/>
  <c r="P99" i="1"/>
  <c r="R99" i="1" s="1"/>
  <c r="T99" i="1" s="1"/>
  <c r="G99" i="1"/>
  <c r="J99" i="1" s="1"/>
  <c r="G25" i="1"/>
  <c r="H25" i="1" s="1"/>
  <c r="P25" i="1"/>
  <c r="G67" i="1"/>
  <c r="I67" i="1" s="1"/>
  <c r="P67" i="1"/>
  <c r="R67" i="1" s="1"/>
  <c r="T67" i="1" s="1"/>
  <c r="P98" i="1"/>
  <c r="R98" i="1" s="1"/>
  <c r="T98" i="1" s="1"/>
  <c r="G98" i="1"/>
  <c r="J98" i="1" s="1"/>
  <c r="E73" i="2"/>
  <c r="E66" i="2"/>
  <c r="F87" i="1"/>
  <c r="P87" i="1" s="1"/>
  <c r="R87" i="1" s="1"/>
  <c r="T87" i="1" s="1"/>
  <c r="R64" i="1"/>
  <c r="T64" i="1" s="1"/>
  <c r="R76" i="1"/>
  <c r="T76" i="1" s="1"/>
  <c r="P117" i="1"/>
  <c r="R117" i="1" s="1"/>
  <c r="T117" i="1" s="1"/>
  <c r="P21" i="1"/>
  <c r="R21" i="1" s="1"/>
  <c r="T21" i="1" s="1"/>
  <c r="E59" i="2"/>
  <c r="R27" i="1"/>
  <c r="T27" i="1" s="1"/>
  <c r="E49" i="2"/>
  <c r="E23" i="2"/>
  <c r="P69" i="1"/>
  <c r="R69" i="1" s="1"/>
  <c r="T69" i="1" s="1"/>
  <c r="F51" i="1"/>
  <c r="F71" i="1"/>
  <c r="F68" i="1"/>
  <c r="G68" i="1" s="1"/>
  <c r="I68" i="1" s="1"/>
  <c r="F101" i="1"/>
  <c r="F74" i="1"/>
  <c r="F48" i="1"/>
  <c r="F103" i="1"/>
  <c r="D15" i="1" s="1"/>
  <c r="C19" i="1" s="1"/>
  <c r="F73" i="1"/>
  <c r="F102" i="1"/>
  <c r="F70" i="1"/>
  <c r="G83" i="1"/>
  <c r="J83" i="1" s="1"/>
  <c r="E83" i="2"/>
  <c r="E46" i="2"/>
  <c r="G46" i="1"/>
  <c r="H46" i="1" s="1"/>
  <c r="R82" i="1"/>
  <c r="T82" i="1" s="1"/>
  <c r="R80" i="1"/>
  <c r="T80" i="1" s="1"/>
  <c r="E21" i="2"/>
  <c r="E68" i="2"/>
  <c r="R92" i="1"/>
  <c r="T92" i="1" s="1"/>
  <c r="P86" i="1"/>
  <c r="R86" i="1" s="1"/>
  <c r="T86" i="1" s="1"/>
  <c r="F57" i="1"/>
  <c r="G57" i="1" s="1"/>
  <c r="H57" i="1" s="1"/>
  <c r="E38" i="2"/>
  <c r="E36" i="2"/>
  <c r="P31" i="1"/>
  <c r="R31" i="1" s="1"/>
  <c r="T31" i="1" s="1"/>
  <c r="E41" i="2"/>
  <c r="R55" i="1"/>
  <c r="T55" i="1" s="1"/>
  <c r="R110" i="1"/>
  <c r="T110" i="1" s="1"/>
  <c r="E29" i="2"/>
  <c r="R30" i="1"/>
  <c r="T30" i="1" s="1"/>
  <c r="R38" i="1"/>
  <c r="T38" i="1" s="1"/>
  <c r="E81" i="2"/>
  <c r="G124" i="1"/>
  <c r="K124" i="1" s="1"/>
  <c r="P124" i="1"/>
  <c r="W16" i="1"/>
  <c r="P77" i="1"/>
  <c r="R77" i="1" s="1"/>
  <c r="T77" i="1" s="1"/>
  <c r="P36" i="1"/>
  <c r="R36" i="1" s="1"/>
  <c r="T36" i="1" s="1"/>
  <c r="P62" i="1"/>
  <c r="R62" i="1" s="1"/>
  <c r="T62" i="1" s="1"/>
  <c r="W18" i="1"/>
  <c r="P72" i="1"/>
  <c r="R72" i="1" s="1"/>
  <c r="T72" i="1" s="1"/>
  <c r="P35" i="1"/>
  <c r="R35" i="1" s="1"/>
  <c r="T35" i="1" s="1"/>
  <c r="W20" i="1"/>
  <c r="P108" i="1"/>
  <c r="R108" i="1" s="1"/>
  <c r="T108" i="1" s="1"/>
  <c r="W30" i="1"/>
  <c r="P106" i="1"/>
  <c r="R106" i="1" s="1"/>
  <c r="T106" i="1" s="1"/>
  <c r="P39" i="1"/>
  <c r="R39" i="1" s="1"/>
  <c r="T39" i="1" s="1"/>
  <c r="W25" i="1"/>
  <c r="P85" i="1"/>
  <c r="R85" i="1" s="1"/>
  <c r="T85" i="1" s="1"/>
  <c r="P59" i="1"/>
  <c r="R59" i="1" s="1"/>
  <c r="T59" i="1" s="1"/>
  <c r="P40" i="1"/>
  <c r="R40" i="1" s="1"/>
  <c r="T40" i="1" s="1"/>
  <c r="P97" i="1"/>
  <c r="R97" i="1" s="1"/>
  <c r="T97" i="1" s="1"/>
  <c r="P44" i="1"/>
  <c r="R44" i="1" s="1"/>
  <c r="T44" i="1" s="1"/>
  <c r="P91" i="1"/>
  <c r="R91" i="1" s="1"/>
  <c r="T91" i="1" s="1"/>
  <c r="P24" i="1"/>
  <c r="R24" i="1" s="1"/>
  <c r="T24" i="1" s="1"/>
  <c r="W11" i="1"/>
  <c r="W21" i="1"/>
  <c r="P84" i="1"/>
  <c r="R84" i="1" s="1"/>
  <c r="T84" i="1" s="1"/>
  <c r="P28" i="1"/>
  <c r="R28" i="1" s="1"/>
  <c r="T28" i="1" s="1"/>
  <c r="W15" i="1"/>
  <c r="P29" i="1"/>
  <c r="R29" i="1" s="1"/>
  <c r="T29" i="1" s="1"/>
  <c r="P88" i="1"/>
  <c r="R88" i="1" s="1"/>
  <c r="T88" i="1" s="1"/>
  <c r="P42" i="1"/>
  <c r="R42" i="1" s="1"/>
  <c r="T42" i="1" s="1"/>
  <c r="P89" i="1"/>
  <c r="R89" i="1" s="1"/>
  <c r="T89" i="1" s="1"/>
  <c r="P122" i="1"/>
  <c r="W32" i="1"/>
  <c r="W2" i="1"/>
  <c r="W4" i="1"/>
  <c r="P94" i="1"/>
  <c r="R94" i="1" s="1"/>
  <c r="T94" i="1" s="1"/>
  <c r="P33" i="1"/>
  <c r="R33" i="1" s="1"/>
  <c r="T33" i="1" s="1"/>
  <c r="W14" i="1"/>
  <c r="P68" i="1"/>
  <c r="R68" i="1" s="1"/>
  <c r="T68" i="1" s="1"/>
  <c r="P23" i="1"/>
  <c r="R23" i="1" s="1"/>
  <c r="T23" i="1" s="1"/>
  <c r="W9" i="1"/>
  <c r="P81" i="1"/>
  <c r="R81" i="1" s="1"/>
  <c r="T81" i="1" s="1"/>
  <c r="P116" i="1"/>
  <c r="R116" i="1" s="1"/>
  <c r="T116" i="1" s="1"/>
  <c r="P104" i="1"/>
  <c r="R104" i="1" s="1"/>
  <c r="T104" i="1" s="1"/>
  <c r="P121" i="1"/>
  <c r="R121" i="1" s="1"/>
  <c r="T121" i="1" s="1"/>
  <c r="G121" i="1"/>
  <c r="K121" i="1" s="1"/>
  <c r="G120" i="1"/>
  <c r="K120" i="1" s="1"/>
  <c r="P120" i="1"/>
  <c r="G123" i="1"/>
  <c r="K123" i="1" s="1"/>
  <c r="P123" i="1"/>
  <c r="R123" i="1" s="1"/>
  <c r="T123" i="1" s="1"/>
  <c r="G118" i="1"/>
  <c r="D16" i="1"/>
  <c r="D19" i="1" s="1"/>
  <c r="P118" i="1"/>
  <c r="G122" i="1"/>
  <c r="K122" i="1" s="1"/>
  <c r="P119" i="1"/>
  <c r="R119" i="1" s="1"/>
  <c r="T119" i="1" s="1"/>
  <c r="W10" i="1"/>
  <c r="W24" i="1"/>
  <c r="W3" i="1"/>
  <c r="G101" i="1" l="1"/>
  <c r="P101" i="1"/>
  <c r="R101" i="1" s="1"/>
  <c r="T101" i="1" s="1"/>
  <c r="P57" i="1"/>
  <c r="R57" i="1" s="1"/>
  <c r="T57" i="1" s="1"/>
  <c r="P70" i="1"/>
  <c r="G70" i="1"/>
  <c r="I70" i="1" s="1"/>
  <c r="R124" i="1"/>
  <c r="T124" i="1" s="1"/>
  <c r="G102" i="1"/>
  <c r="J102" i="1" s="1"/>
  <c r="P102" i="1"/>
  <c r="R102" i="1" s="1"/>
  <c r="T102" i="1" s="1"/>
  <c r="P51" i="1"/>
  <c r="G51" i="1"/>
  <c r="H51" i="1" s="1"/>
  <c r="R32" i="1"/>
  <c r="T32" i="1" s="1"/>
  <c r="R53" i="1"/>
  <c r="T53" i="1" s="1"/>
  <c r="P71" i="1"/>
  <c r="G71" i="1"/>
  <c r="I71" i="1" s="1"/>
  <c r="R120" i="1"/>
  <c r="T120" i="1" s="1"/>
  <c r="G73" i="1"/>
  <c r="I73" i="1" s="1"/>
  <c r="P73" i="1"/>
  <c r="R25" i="1"/>
  <c r="T25" i="1" s="1"/>
  <c r="R52" i="1"/>
  <c r="T52" i="1" s="1"/>
  <c r="R100" i="1"/>
  <c r="T100" i="1" s="1"/>
  <c r="G103" i="1"/>
  <c r="K103" i="1" s="1"/>
  <c r="P103" i="1"/>
  <c r="R103" i="1" s="1"/>
  <c r="T103" i="1" s="1"/>
  <c r="R83" i="1"/>
  <c r="T83" i="1" s="1"/>
  <c r="R118" i="1"/>
  <c r="T118" i="1" s="1"/>
  <c r="G48" i="1"/>
  <c r="H48" i="1" s="1"/>
  <c r="P48" i="1"/>
  <c r="R48" i="1" s="1"/>
  <c r="T48" i="1" s="1"/>
  <c r="R56" i="1"/>
  <c r="T56" i="1" s="1"/>
  <c r="R63" i="1"/>
  <c r="T63" i="1" s="1"/>
  <c r="R90" i="1"/>
  <c r="T90" i="1" s="1"/>
  <c r="G74" i="1"/>
  <c r="I74" i="1" s="1"/>
  <c r="P74" i="1"/>
  <c r="R74" i="1" s="1"/>
  <c r="T74" i="1" s="1"/>
  <c r="R113" i="1"/>
  <c r="T113" i="1" s="1"/>
  <c r="R61" i="1"/>
  <c r="T61" i="1" s="1"/>
  <c r="R46" i="1"/>
  <c r="T46" i="1" s="1"/>
  <c r="R111" i="1"/>
  <c r="T111" i="1" s="1"/>
  <c r="R50" i="1"/>
  <c r="T50" i="1" s="1"/>
  <c r="R105" i="1"/>
  <c r="T105" i="1" s="1"/>
  <c r="R95" i="1"/>
  <c r="T95" i="1" s="1"/>
  <c r="R122" i="1"/>
  <c r="T122" i="1" s="1"/>
  <c r="K118" i="1"/>
  <c r="C12" i="1"/>
  <c r="C11" i="1"/>
  <c r="O122" i="1" l="1"/>
  <c r="O111" i="1"/>
  <c r="O107" i="1"/>
  <c r="O102" i="1"/>
  <c r="O94" i="1"/>
  <c r="O100" i="1"/>
  <c r="O98" i="1"/>
  <c r="O101" i="1"/>
  <c r="O112" i="1"/>
  <c r="O123" i="1"/>
  <c r="O97" i="1"/>
  <c r="O116" i="1"/>
  <c r="O120" i="1"/>
  <c r="O63" i="1"/>
  <c r="O103" i="1"/>
  <c r="O121" i="1"/>
  <c r="O117" i="1"/>
  <c r="O115" i="1"/>
  <c r="O114" i="1"/>
  <c r="O104" i="1"/>
  <c r="O108" i="1"/>
  <c r="O72" i="1"/>
  <c r="O124" i="1"/>
  <c r="O118" i="1"/>
  <c r="C15" i="1"/>
  <c r="C18" i="1" s="1"/>
  <c r="O64" i="1"/>
  <c r="O70" i="1"/>
  <c r="O96" i="1"/>
  <c r="O65" i="1"/>
  <c r="O119" i="1"/>
  <c r="O110" i="1"/>
  <c r="O105" i="1"/>
  <c r="O106" i="1"/>
  <c r="O113" i="1"/>
  <c r="O95" i="1"/>
  <c r="O99" i="1"/>
  <c r="O62" i="1"/>
  <c r="O109" i="1"/>
  <c r="O66" i="1"/>
  <c r="C16" i="1"/>
  <c r="D18" i="1" s="1"/>
  <c r="R71" i="1"/>
  <c r="T71" i="1" s="1"/>
  <c r="R70" i="1"/>
  <c r="T70" i="1" s="1"/>
  <c r="R73" i="1"/>
  <c r="T73" i="1" s="1"/>
  <c r="R51" i="1"/>
  <c r="T51" i="1" s="1"/>
  <c r="J101" i="1"/>
  <c r="F18" i="1" l="1"/>
  <c r="F19" i="1" s="1"/>
  <c r="E14" i="1"/>
</calcChain>
</file>

<file path=xl/sharedStrings.xml><?xml version="1.0" encoding="utf-8"?>
<sst xmlns="http://schemas.openxmlformats.org/spreadsheetml/2006/main" count="978" uniqueCount="398">
  <si>
    <t>VSB-063</t>
  </si>
  <si>
    <t>VSB-059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</si>
  <si>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</si>
  <si>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</si>
  <si>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</si>
  <si>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</si>
  <si>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</si>
  <si>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</si>
  <si>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</si>
  <si>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</si>
  <si>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</si>
  <si>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</si>
  <si>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</si>
  <si>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</si>
  <si>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</si>
  <si>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</si>
  <si>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</si>
  <si>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</si>
  <si>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</si>
  <si>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</si>
  <si>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</si>
  <si>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</si>
  <si>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</si>
  <si>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</si>
  <si>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</si>
  <si>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</si>
  <si>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</si>
  <si>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</si>
  <si>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3277</t>
  </si>
  <si>
    <t>IBVS 2159</t>
  </si>
  <si>
    <t>BAA 63,19</t>
  </si>
  <si>
    <t>BBSAG Bull.81</t>
  </si>
  <si>
    <t>BAV-M 46</t>
  </si>
  <si>
    <t>BAA 66,32</t>
  </si>
  <si>
    <t>BAV-M 50</t>
  </si>
  <si>
    <t>IBVS 3423</t>
  </si>
  <si>
    <t>V</t>
  </si>
  <si>
    <t>BAV-M 56</t>
  </si>
  <si>
    <t>BAV-M 60</t>
  </si>
  <si>
    <t>BAV-M 99</t>
  </si>
  <si>
    <t>BAV-M 111</t>
  </si>
  <si>
    <t>IBVS 4606</t>
  </si>
  <si>
    <t>IBVS 4472</t>
  </si>
  <si>
    <t>IBVS 5296</t>
  </si>
  <si>
    <t>II</t>
  </si>
  <si>
    <t># of data points:</t>
  </si>
  <si>
    <t>EB/KE:</t>
  </si>
  <si>
    <t>ST Aqr / GSC 05232-00397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</si>
  <si>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</si>
  <si>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</si>
  <si>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</si>
  <si>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</si>
  <si>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</si>
  <si>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</si>
  <si>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</si>
  <si>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</si>
  <si>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5843</t>
  </si>
  <si>
    <t>Add cycle</t>
  </si>
  <si>
    <t>Old Cycle</t>
  </si>
  <si>
    <t>OEJV 0137</t>
  </si>
  <si>
    <t>PE</t>
  </si>
  <si>
    <t>IBVS 6011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</si>
  <si>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</si>
  <si>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</si>
  <si>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</si>
  <si>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</si>
  <si>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</si>
  <si>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</si>
  <si>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</si>
  <si>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</si>
  <si>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</si>
  <si>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2419675.843 </t>
  </si>
  <si>
    <t> 30.09.1912 08:13 </t>
  </si>
  <si>
    <t> -0.038 </t>
  </si>
  <si>
    <t>V </t>
  </si>
  <si>
    <t> E.Zinner </t>
  </si>
  <si>
    <t> AN 242.211 </t>
  </si>
  <si>
    <t>2423640.26 </t>
  </si>
  <si>
    <t> 08.08.1923 18:14 </t>
  </si>
  <si>
    <t> 0.06 </t>
  </si>
  <si>
    <t> G.Zacharov </t>
  </si>
  <si>
    <t> TTAO 1.43 </t>
  </si>
  <si>
    <t>2423643.39 </t>
  </si>
  <si>
    <t> 11.08.1923 21:21 </t>
  </si>
  <si>
    <t> 0.07 </t>
  </si>
  <si>
    <t>2423644.20 </t>
  </si>
  <si>
    <t> 12.08.1923 16:48 </t>
  </si>
  <si>
    <t> 0.10 </t>
  </si>
  <si>
    <t>2423651.23 </t>
  </si>
  <si>
    <t> 19.08.1923 17:31 </t>
  </si>
  <si>
    <t>2423654.35 </t>
  </si>
  <si>
    <t> 22.08.1923 20:24 </t>
  </si>
  <si>
    <t>2423661.35 </t>
  </si>
  <si>
    <t> 29.08.1923 20:24 </t>
  </si>
  <si>
    <t>2423662.15 </t>
  </si>
  <si>
    <t> 30.08.1923 15:36 </t>
  </si>
  <si>
    <t> 0.09 </t>
  </si>
  <si>
    <t>2423663.32 </t>
  </si>
  <si>
    <t> 31.08.1923 19:40 </t>
  </si>
  <si>
    <t> 0.08 </t>
  </si>
  <si>
    <t>2423665.27 </t>
  </si>
  <si>
    <t> 02.09.1923 18:28 </t>
  </si>
  <si>
    <t>2423669.15 </t>
  </si>
  <si>
    <t> 06.09.1923 15:36 </t>
  </si>
  <si>
    <t>2423676.20 </t>
  </si>
  <si>
    <t> 13.09.1923 16:48 </t>
  </si>
  <si>
    <t>2423678.17 </t>
  </si>
  <si>
    <t> 15.09.1923 16:04 </t>
  </si>
  <si>
    <t>2423680.13 </t>
  </si>
  <si>
    <t> 17.09.1923 15:07 </t>
  </si>
  <si>
    <t>2423694.15 </t>
  </si>
  <si>
    <t> 01.10.1923 15:36 </t>
  </si>
  <si>
    <t>2423697.30 </t>
  </si>
  <si>
    <t> 04.10.1923 19:12 </t>
  </si>
  <si>
    <t>2423733.20 </t>
  </si>
  <si>
    <t> 09.11.1923 16:48 </t>
  </si>
  <si>
    <t>2425098.418 </t>
  </si>
  <si>
    <t> 05.08.1927 22:01 </t>
  </si>
  <si>
    <t> -0.280 </t>
  </si>
  <si>
    <t> J.Mergentaler </t>
  </si>
  <si>
    <t> AAC 1.154 </t>
  </si>
  <si>
    <t>2425145.295 </t>
  </si>
  <si>
    <t> 21.09.1927 19:04 </t>
  </si>
  <si>
    <t> -0.263 </t>
  </si>
  <si>
    <t>2425146.075 </t>
  </si>
  <si>
    <t> 22.09.1927 13:48 </t>
  </si>
  <si>
    <t> -0.264 </t>
  </si>
  <si>
    <t>2425470.20 </t>
  </si>
  <si>
    <t> 11.08.1928 16:48 </t>
  </si>
  <si>
    <t> -0.25 </t>
  </si>
  <si>
    <t> PZ 8.233 </t>
  </si>
  <si>
    <t>2425484.23 </t>
  </si>
  <si>
    <t> 25.08.1928 17:31 </t>
  </si>
  <si>
    <t> -0.28 </t>
  </si>
  <si>
    <t>2425491.27 </t>
  </si>
  <si>
    <t> 01.09.1928 18:28 </t>
  </si>
  <si>
    <t> -0.27 </t>
  </si>
  <si>
    <t>2425495.16 </t>
  </si>
  <si>
    <t> 05.09.1928 15:50 </t>
  </si>
  <si>
    <t>2425502.21 </t>
  </si>
  <si>
    <t> 12.09.1928 17:02 </t>
  </si>
  <si>
    <t> -0.26 </t>
  </si>
  <si>
    <t>2425520.16 </t>
  </si>
  <si>
    <t> 30.09.1928 15:50 </t>
  </si>
  <si>
    <t>2425538.14 </t>
  </si>
  <si>
    <t> 18.10.1928 15:21 </t>
  </si>
  <si>
    <t>2425545.17 </t>
  </si>
  <si>
    <t> 25.10.1928 16:04 </t>
  </si>
  <si>
    <t>2425628.738 </t>
  </si>
  <si>
    <t> 17.01.1929 05:42 </t>
  </si>
  <si>
    <t> -0.254 </t>
  </si>
  <si>
    <t> M.Beyer </t>
  </si>
  <si>
    <t> AN 258.175 </t>
  </si>
  <si>
    <t>2425830.27 </t>
  </si>
  <si>
    <t> 06.08.1929 18:28 </t>
  </si>
  <si>
    <t> -0.22 </t>
  </si>
  <si>
    <t>2425837.27 </t>
  </si>
  <si>
    <t> 13.08.1929 18:28 </t>
  </si>
  <si>
    <t>2425852.12 </t>
  </si>
  <si>
    <t> 28.08.1929 14:52 </t>
  </si>
  <si>
    <t> -0.24 </t>
  </si>
  <si>
    <t>2425855.23 </t>
  </si>
  <si>
    <t> 31.08.1929 17:31 </t>
  </si>
  <si>
    <t>2425859.16 </t>
  </si>
  <si>
    <t> 04.09.1929 15:50 </t>
  </si>
  <si>
    <t>2425862.25 </t>
  </si>
  <si>
    <t> 07.09.1929 18:00 </t>
  </si>
  <si>
    <t>2425880.23 </t>
  </si>
  <si>
    <t> 25.09.1929 17:31 </t>
  </si>
  <si>
    <t>2425887.26 </t>
  </si>
  <si>
    <t> 02.10.1929 18:14 </t>
  </si>
  <si>
    <t>2425891.16 </t>
  </si>
  <si>
    <t> 06.10.1929 15:50 </t>
  </si>
  <si>
    <t>2425909.12 </t>
  </si>
  <si>
    <t> 24.10.1929 14:52 </t>
  </si>
  <si>
    <t>2425912.24 </t>
  </si>
  <si>
    <t> 27.10.1929 17:45 </t>
  </si>
  <si>
    <t>2439756.3306 </t>
  </si>
  <si>
    <t> 22.09.1967 19:56 </t>
  </si>
  <si>
    <t> -0.0236 </t>
  </si>
  <si>
    <t>E </t>
  </si>
  <si>
    <t>?</t>
  </si>
  <si>
    <t> G.F.G.Knipe </t>
  </si>
  <si>
    <t> MNS 30.157 </t>
  </si>
  <si>
    <t>2439768.8242 </t>
  </si>
  <si>
    <t> 05.10.1967 07:46 </t>
  </si>
  <si>
    <t> -0.0258 </t>
  </si>
  <si>
    <t> J.K.Gleim </t>
  </si>
  <si>
    <t> AJ 78.626 </t>
  </si>
  <si>
    <t>2439769.6091 </t>
  </si>
  <si>
    <t> 06.10.1967 02:37 </t>
  </si>
  <si>
    <t> -0.0219 </t>
  </si>
  <si>
    <t>2439775.8492 </t>
  </si>
  <si>
    <t> 12.10.1967 08:22 </t>
  </si>
  <si>
    <t> -0.0298 </t>
  </si>
  <si>
    <t>2439787.5729 </t>
  </si>
  <si>
    <t> 24.10.1967 01:44 </t>
  </si>
  <si>
    <t> -0.0210 </t>
  </si>
  <si>
    <t>2440854.408 </t>
  </si>
  <si>
    <t> 24.09.1970 21:47 </t>
  </si>
  <si>
    <t> -0.021 </t>
  </si>
  <si>
    <t>2441236.316 </t>
  </si>
  <si>
    <t> 11.10.1971 19:35 </t>
  </si>
  <si>
    <t> -0.018 </t>
  </si>
  <si>
    <t>2443801.9104 </t>
  </si>
  <si>
    <t> 20.10.1978 09:50 </t>
  </si>
  <si>
    <t> 0.0182 </t>
  </si>
  <si>
    <t> Al-Naimiy &amp; Fleyeh </t>
  </si>
  <si>
    <t>IBVS 3277 </t>
  </si>
  <si>
    <t>2443835.8877 </t>
  </si>
  <si>
    <t> 23.11.1978 09:18 </t>
  </si>
  <si>
    <t> 0.0223 </t>
  </si>
  <si>
    <t>2444845.3898 </t>
  </si>
  <si>
    <t> 28.08.1981 21:21 </t>
  </si>
  <si>
    <t> 0.0924 </t>
  </si>
  <si>
    <t> E.Derman et al. </t>
  </si>
  <si>
    <t>IBVS 2159 </t>
  </si>
  <si>
    <t>2446292.484 </t>
  </si>
  <si>
    <t> 14.08.1985 23:36 </t>
  </si>
  <si>
    <t> 0.009 </t>
  </si>
  <si>
    <t> T.Brelstaff </t>
  </si>
  <si>
    <t> VSSC 63.21 </t>
  </si>
  <si>
    <t>2446346.344 </t>
  </si>
  <si>
    <t> 07.10.1985 20:15 </t>
  </si>
  <si>
    <t> -0.020 </t>
  </si>
  <si>
    <t> A.Paschke </t>
  </si>
  <si>
    <t> BBS 81 </t>
  </si>
  <si>
    <t>2446350.264 </t>
  </si>
  <si>
    <t> 11.10.1985 18:20 </t>
  </si>
  <si>
    <t> -0.005 </t>
  </si>
  <si>
    <t>2446627.524 </t>
  </si>
  <si>
    <t> 16.07.1986 00:34 </t>
  </si>
  <si>
    <t> 0.003 </t>
  </si>
  <si>
    <t>2446645.491 </t>
  </si>
  <si>
    <t> 02.08.1986 23:47 </t>
  </si>
  <si>
    <t> 0.007 </t>
  </si>
  <si>
    <t>BAVM 46 </t>
  </si>
  <si>
    <t>2446677.512 </t>
  </si>
  <si>
    <t> 04.09.1986 00:17 </t>
  </si>
  <si>
    <t> 0.008 </t>
  </si>
  <si>
    <t> VSSC 66.34 </t>
  </si>
  <si>
    <t>2446679.435 </t>
  </si>
  <si>
    <t> 05.09.1986 22:26 </t>
  </si>
  <si>
    <t> -0.022 </t>
  </si>
  <si>
    <t>2446688.468 </t>
  </si>
  <si>
    <t> 14.09.1986 23:13 </t>
  </si>
  <si>
    <t> 0.030 </t>
  </si>
  <si>
    <t>2447030.5127 </t>
  </si>
  <si>
    <t> 23.08.1987 00:18 </t>
  </si>
  <si>
    <t> -0.0000 </t>
  </si>
  <si>
    <t> F.Agerer </t>
  </si>
  <si>
    <t>BAVM 50 </t>
  </si>
  <si>
    <t>2447477.244 </t>
  </si>
  <si>
    <t> 11.11.1988 17:51 </t>
  </si>
  <si>
    <t> 0.004 </t>
  </si>
  <si>
    <t> S.Srinivasan </t>
  </si>
  <si>
    <t> VSSC 72.24 </t>
  </si>
  <si>
    <t>2447776.354 </t>
  </si>
  <si>
    <t> 06.09.1989 20:29 </t>
  </si>
  <si>
    <t> -0.006 </t>
  </si>
  <si>
    <t> VSSC 73 </t>
  </si>
  <si>
    <t>2447819.3126 </t>
  </si>
  <si>
    <t> 19.10.1989 19:30 </t>
  </si>
  <si>
    <t> -0.0020 </t>
  </si>
  <si>
    <t> D.Hanzl </t>
  </si>
  <si>
    <t>IBVS 3423 </t>
  </si>
  <si>
    <t>2447862.2703 </t>
  </si>
  <si>
    <t> 01.12.1989 18:29 </t>
  </si>
  <si>
    <t> 0.0012 </t>
  </si>
  <si>
    <t>B;V</t>
  </si>
  <si>
    <t> D.Alteweier </t>
  </si>
  <si>
    <t>BAVM 56 </t>
  </si>
  <si>
    <t>2448525.331 </t>
  </si>
  <si>
    <t> 25.09.1991 19:56 </t>
  </si>
  <si>
    <t> -0.000 </t>
  </si>
  <si>
    <t>G</t>
  </si>
  <si>
    <t>BAVM 60 </t>
  </si>
  <si>
    <t>2448525.332 </t>
  </si>
  <si>
    <t> 25.09.1991 19:58 </t>
  </si>
  <si>
    <t> 0.001 </t>
  </si>
  <si>
    <t>2450394.2435 </t>
  </si>
  <si>
    <t> 06.11.1996 17:50 </t>
  </si>
  <si>
    <t> -0.0013 </t>
  </si>
  <si>
    <t>o</t>
  </si>
  <si>
    <t> W.Kleikamp </t>
  </si>
  <si>
    <t>BAVM 99 </t>
  </si>
  <si>
    <t>2450719.935 </t>
  </si>
  <si>
    <t> 28.09.1997 10:26 </t>
  </si>
  <si>
    <t> 0.017 </t>
  </si>
  <si>
    <t>C </t>
  </si>
  <si>
    <t> K.Nagai </t>
  </si>
  <si>
    <t>VSB 47 </t>
  </si>
  <si>
    <t>2450754.2783 </t>
  </si>
  <si>
    <t> 01.11.1997 18:40 </t>
  </si>
  <si>
    <t> -0.0038 </t>
  </si>
  <si>
    <t>BAVM 111 </t>
  </si>
  <si>
    <t>2451140.868 </t>
  </si>
  <si>
    <t> 23.11.1998 08:49 </t>
  </si>
  <si>
    <t>2451755.1244 </t>
  </si>
  <si>
    <t> 29.07.2000 14:59 </t>
  </si>
  <si>
    <t> K:Nagai </t>
  </si>
  <si>
    <t>VSB 38 </t>
  </si>
  <si>
    <t>2451757.0734 </t>
  </si>
  <si>
    <t> 31.07.2000 13:45 </t>
  </si>
  <si>
    <t> -0.0023 </t>
  </si>
  <si>
    <t>2451780.5027 </t>
  </si>
  <si>
    <t> 24.08.2000 00:03 </t>
  </si>
  <si>
    <t> -0.0028 </t>
  </si>
  <si>
    <t>-I</t>
  </si>
  <si>
    <t>BAVM 152 </t>
  </si>
  <si>
    <t>2452171.0012 </t>
  </si>
  <si>
    <t> 18.09.2001 12:01 </t>
  </si>
  <si>
    <t>-422</t>
  </si>
  <si>
    <t> -0.0002 </t>
  </si>
  <si>
    <t>VSB 39 </t>
  </si>
  <si>
    <t>2452529.089 </t>
  </si>
  <si>
    <t> 11.09.2002 14:08 </t>
  </si>
  <si>
    <t>36.5</t>
  </si>
  <si>
    <t>VSB 40 </t>
  </si>
  <si>
    <t>2452582.9911 </t>
  </si>
  <si>
    <t> 04.11.2002 11:47 </t>
  </si>
  <si>
    <t>105.5</t>
  </si>
  <si>
    <t> 0.0165 </t>
  </si>
  <si>
    <t> Kiyota </t>
  </si>
  <si>
    <t>2452951.9976 </t>
  </si>
  <si>
    <t> 08.11.2003 11:56 </t>
  </si>
  <si>
    <t>578</t>
  </si>
  <si>
    <t> 0.0043 </t>
  </si>
  <si>
    <t> Nakajima </t>
  </si>
  <si>
    <t>VSB 42 </t>
  </si>
  <si>
    <t>2453259.7033 </t>
  </si>
  <si>
    <t> 11.09.2004 04:52 </t>
  </si>
  <si>
    <t>972</t>
  </si>
  <si>
    <t> -0.0008 </t>
  </si>
  <si>
    <t> W.Ogloza et al. </t>
  </si>
  <si>
    <t>IBVS 5843 </t>
  </si>
  <si>
    <t>2453281.5646 </t>
  </si>
  <si>
    <t> 03.10.2004 01:33 </t>
  </si>
  <si>
    <t>1000</t>
  </si>
  <si>
    <t> -0.0073 </t>
  </si>
  <si>
    <t>2453953.2234 </t>
  </si>
  <si>
    <t> 05.08.2006 17:21 </t>
  </si>
  <si>
    <t>1860</t>
  </si>
  <si>
    <t> -0.0015 </t>
  </si>
  <si>
    <t> K.Nagai et al. </t>
  </si>
  <si>
    <t>VSB 45 </t>
  </si>
  <si>
    <t>2453991.4923 </t>
  </si>
  <si>
    <t> 12.09.2006 23:48 </t>
  </si>
  <si>
    <t>1909</t>
  </si>
  <si>
    <t> -0.0012 </t>
  </si>
  <si>
    <t>BAVM 183 </t>
  </si>
  <si>
    <t>2455075.5158 </t>
  </si>
  <si>
    <t> 01.09.2009 00:22 </t>
  </si>
  <si>
    <t>3297</t>
  </si>
  <si>
    <t> 0.0055 </t>
  </si>
  <si>
    <t> M.Mašek </t>
  </si>
  <si>
    <t>OEJV 0137 </t>
  </si>
  <si>
    <t>2455088.0008 </t>
  </si>
  <si>
    <t> 13.09.2009 12:01 </t>
  </si>
  <si>
    <t>3313</t>
  </si>
  <si>
    <t> -0.0054 </t>
  </si>
  <si>
    <t>Ic</t>
  </si>
  <si>
    <t>VSB 50 </t>
  </si>
  <si>
    <t>2455457.0220 </t>
  </si>
  <si>
    <t> 17.09.2010 12:31 </t>
  </si>
  <si>
    <t>3785.5</t>
  </si>
  <si>
    <t>VSB 51 </t>
  </si>
  <si>
    <t>2455811.977 </t>
  </si>
  <si>
    <t> 07.09.2011 11:26 </t>
  </si>
  <si>
    <t>4240</t>
  </si>
  <si>
    <t> -0.009 </t>
  </si>
  <si>
    <t>Rc</t>
  </si>
  <si>
    <t>VSB 53 </t>
  </si>
  <si>
    <t>2455862.7395 </t>
  </si>
  <si>
    <t> 28.10.2011 05:44 </t>
  </si>
  <si>
    <t>4305</t>
  </si>
  <si>
    <t> -0.0106 </t>
  </si>
  <si>
    <t> R.Diethelm </t>
  </si>
  <si>
    <t>IBVS 6011 </t>
  </si>
  <si>
    <t>2456865.1377 </t>
  </si>
  <si>
    <t> 26.07.2014 15:18 </t>
  </si>
  <si>
    <t>5588.5</t>
  </si>
  <si>
    <t> -0.0155 </t>
  </si>
  <si>
    <t>VSB 59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</si>
  <si>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</si>
  <si>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</si>
  <si>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</si>
  <si>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</si>
  <si>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</si>
  <si>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</si>
  <si>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</si>
  <si>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Quad. Ephemeris =</t>
  </si>
  <si>
    <t>JBAV, 55</t>
  </si>
  <si>
    <t>VSB, 91</t>
  </si>
  <si>
    <t>U</t>
  </si>
  <si>
    <t>Ha</t>
  </si>
  <si>
    <t>B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</si>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</sst>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25" borderId="0" xfId="0" applyFont="1" applyFill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29113924050632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78942920199375"/>
          <c:w val="0.8180379746835443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3-428E-A4DE-23BD01A7C3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3-428E-A4DE-23BD01A7C3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3-428E-A4DE-23BD01A7C3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  <c:pt idx="103">
                  <c:v>-6.2731999998504762E-2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3-428E-A4DE-23BD01A7C3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3-428E-A4DE-23BD01A7C3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3-428E-A4DE-23BD01A7C3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3-428E-A4DE-23BD01A7C3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-5.3618803738340569E-2</c:v>
                </c:pt>
                <c:pt idx="42">
                  <c:v>-5.3618803738340569E-2</c:v>
                </c:pt>
                <c:pt idx="43">
                  <c:v>-5.0874974946774974E-2</c:v>
                </c:pt>
                <c:pt idx="44">
                  <c:v>-1.751134498728709E-2</c:v>
                </c:pt>
                <c:pt idx="45">
                  <c:v>-2.8242160558261446E-2</c:v>
                </c:pt>
                <c:pt idx="49">
                  <c:v>2.7066585835669593E-3</c:v>
                </c:pt>
                <c:pt idx="51">
                  <c:v>-1.4257387410490936E-2</c:v>
                </c:pt>
                <c:pt idx="73">
                  <c:v>2.7066585835669593E-3</c:v>
                </c:pt>
                <c:pt idx="74">
                  <c:v>2.7066585835669593E-3</c:v>
                </c:pt>
                <c:pt idx="75">
                  <c:v>-1.1739947133080915E-2</c:v>
                </c:pt>
                <c:pt idx="76">
                  <c:v>-1.1739947133080915E-2</c:v>
                </c:pt>
                <c:pt idx="77">
                  <c:v>-1.4523016600433473E-2</c:v>
                </c:pt>
                <c:pt idx="78">
                  <c:v>-1.4523016600433473E-2</c:v>
                </c:pt>
                <c:pt idx="79">
                  <c:v>-2.2259466757510067E-2</c:v>
                </c:pt>
                <c:pt idx="80">
                  <c:v>-2.2274559325120437E-2</c:v>
                </c:pt>
                <c:pt idx="81">
                  <c:v>-2.2455670136444901E-2</c:v>
                </c:pt>
                <c:pt idx="82">
                  <c:v>-2.5474183658519257E-2</c:v>
                </c:pt>
                <c:pt idx="83">
                  <c:v>-2.8658715424307694E-2</c:v>
                </c:pt>
                <c:pt idx="84">
                  <c:v>-3.151121070266797E-2</c:v>
                </c:pt>
                <c:pt idx="85">
                  <c:v>-3.3889799358062571E-2</c:v>
                </c:pt>
                <c:pt idx="86">
                  <c:v>-3.4058836115298731E-2</c:v>
                </c:pt>
                <c:pt idx="87">
                  <c:v>-3.925067937326663E-2</c:v>
                </c:pt>
                <c:pt idx="88">
                  <c:v>-3.9546493698429906E-2</c:v>
                </c:pt>
                <c:pt idx="89">
                  <c:v>-4.7925887235708335E-2</c:v>
                </c:pt>
                <c:pt idx="90">
                  <c:v>-4.7925887235708335E-2</c:v>
                </c:pt>
                <c:pt idx="91">
                  <c:v>-4.8022479668414712E-2</c:v>
                </c:pt>
                <c:pt idx="92">
                  <c:v>-5.4011210496210237E-2</c:v>
                </c:pt>
                <c:pt idx="93">
                  <c:v>-6.175973470737512E-2</c:v>
                </c:pt>
                <c:pt idx="94">
                  <c:v>-6.175973470737512E-2</c:v>
                </c:pt>
                <c:pt idx="95">
                  <c:v>-6.5348747285121522E-2</c:v>
                </c:pt>
                <c:pt idx="96">
                  <c:v>-6.7718280399949898E-2</c:v>
                </c:pt>
                <c:pt idx="97">
                  <c:v>-7.9046761648294966E-2</c:v>
                </c:pt>
                <c:pt idx="98">
                  <c:v>-8.1594387060925727E-2</c:v>
                </c:pt>
                <c:pt idx="99">
                  <c:v>-8.1594387060925727E-2</c:v>
                </c:pt>
                <c:pt idx="100">
                  <c:v>-8.1956608683574655E-2</c:v>
                </c:pt>
                <c:pt idx="101">
                  <c:v>-8.2010941926971975E-2</c:v>
                </c:pt>
                <c:pt idx="102">
                  <c:v>-8.2010941926971975E-2</c:v>
                </c:pt>
                <c:pt idx="103">
                  <c:v>-8.5162270044017607E-2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3-428E-A4DE-23BD01A7C3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33-428E-A4DE-23BD01A7C38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-0.34219148940094968</c:v>
                </c:pt>
                <c:pt idx="1">
                  <c:v>-0.24786450240943031</c:v>
                </c:pt>
                <c:pt idx="2">
                  <c:v>-0.26553302079547475</c:v>
                </c:pt>
                <c:pt idx="3">
                  <c:v>-0.23079442352951557</c:v>
                </c:pt>
                <c:pt idx="4">
                  <c:v>-0.19844958428807519</c:v>
                </c:pt>
                <c:pt idx="5">
                  <c:v>-0.16849850307115369</c:v>
                </c:pt>
                <c:pt idx="6">
                  <c:v>-0.14094117987875102</c:v>
                </c:pt>
                <c:pt idx="7">
                  <c:v>-0.1157776147108672</c:v>
                </c:pt>
                <c:pt idx="8">
                  <c:v>-9.3007807567502196E-2</c:v>
                </c:pt>
                <c:pt idx="9">
                  <c:v>-7.2631758448656047E-2</c:v>
                </c:pt>
                <c:pt idx="10">
                  <c:v>-5.464946735432874E-2</c:v>
                </c:pt>
                <c:pt idx="11">
                  <c:v>-3.9060934284520274E-2</c:v>
                </c:pt>
                <c:pt idx="12">
                  <c:v>-2.5866159239230649E-2</c:v>
                </c:pt>
                <c:pt idx="13">
                  <c:v>-1.506514221845987E-2</c:v>
                </c:pt>
                <c:pt idx="14">
                  <c:v>-6.657883222207929E-3</c:v>
                </c:pt>
                <c:pt idx="15">
                  <c:v>-6.4438225047483162E-4</c:v>
                </c:pt>
                <c:pt idx="16">
                  <c:v>2.9753606967394242E-3</c:v>
                </c:pt>
                <c:pt idx="17">
                  <c:v>4.2013456194348372E-3</c:v>
                </c:pt>
                <c:pt idx="18">
                  <c:v>3.0335725176114103E-3</c:v>
                </c:pt>
                <c:pt idx="19">
                  <c:v>-5.2795860873085937E-4</c:v>
                </c:pt>
                <c:pt idx="20">
                  <c:v>-6.4832477595919737E-3</c:v>
                </c:pt>
                <c:pt idx="21">
                  <c:v>-1.4832294934971926E-2</c:v>
                </c:pt>
                <c:pt idx="22">
                  <c:v>-2.5575100134870729E-2</c:v>
                </c:pt>
                <c:pt idx="23">
                  <c:v>-3.8711663359288363E-2</c:v>
                </c:pt>
                <c:pt idx="24">
                  <c:v>-5.4241984608224846E-2</c:v>
                </c:pt>
                <c:pt idx="25">
                  <c:v>-7.2166063881680176E-2</c:v>
                </c:pt>
                <c:pt idx="26">
                  <c:v>-9.2483901179654326E-2</c:v>
                </c:pt>
                <c:pt idx="27">
                  <c:v>-0.11519549650214733</c:v>
                </c:pt>
                <c:pt idx="28">
                  <c:v>-0.14030084984915919</c:v>
                </c:pt>
                <c:pt idx="29">
                  <c:v>-0.16779996122068988</c:v>
                </c:pt>
                <c:pt idx="30">
                  <c:v>-0.19769283061673942</c:v>
                </c:pt>
                <c:pt idx="31">
                  <c:v>-0.22997945803730779</c:v>
                </c:pt>
                <c:pt idx="32">
                  <c:v>-0.26465984348239496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33-428E-A4DE-23BD01A7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8064"/>
        <c:axId val="1"/>
      </c:scatterChart>
      <c:valAx>
        <c:axId val="24651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183544303797468"/>
          <c:y val="0.9204921861831491"/>
          <c:w val="0.837025316455696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388691934835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678942920199375"/>
          <c:w val="0.8120075718422502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1-479D-8B35-7E5EA6DA36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1-479D-8B35-7E5EA6DA36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1-479D-8B35-7E5EA6DA36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  <c:pt idx="103">
                  <c:v>-6.2731999998504762E-2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1-479D-8B35-7E5EA6DA36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1-479D-8B35-7E5EA6DA36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1-479D-8B35-7E5EA6DA36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1-479D-8B35-7E5EA6DA36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-5.3618803738340569E-2</c:v>
                </c:pt>
                <c:pt idx="42">
                  <c:v>-5.3618803738340569E-2</c:v>
                </c:pt>
                <c:pt idx="43">
                  <c:v>-5.0874974946774974E-2</c:v>
                </c:pt>
                <c:pt idx="44">
                  <c:v>-1.751134498728709E-2</c:v>
                </c:pt>
                <c:pt idx="45">
                  <c:v>-2.8242160558261446E-2</c:v>
                </c:pt>
                <c:pt idx="49">
                  <c:v>2.7066585835669593E-3</c:v>
                </c:pt>
                <c:pt idx="51">
                  <c:v>-1.4257387410490936E-2</c:v>
                </c:pt>
                <c:pt idx="73">
                  <c:v>2.7066585835669593E-3</c:v>
                </c:pt>
                <c:pt idx="74">
                  <c:v>2.7066585835669593E-3</c:v>
                </c:pt>
                <c:pt idx="75">
                  <c:v>-1.1739947133080915E-2</c:v>
                </c:pt>
                <c:pt idx="76">
                  <c:v>-1.1739947133080915E-2</c:v>
                </c:pt>
                <c:pt idx="77">
                  <c:v>-1.4523016600433473E-2</c:v>
                </c:pt>
                <c:pt idx="78">
                  <c:v>-1.4523016600433473E-2</c:v>
                </c:pt>
                <c:pt idx="79">
                  <c:v>-2.2259466757510067E-2</c:v>
                </c:pt>
                <c:pt idx="80">
                  <c:v>-2.2274559325120437E-2</c:v>
                </c:pt>
                <c:pt idx="81">
                  <c:v>-2.2455670136444901E-2</c:v>
                </c:pt>
                <c:pt idx="82">
                  <c:v>-2.5474183658519257E-2</c:v>
                </c:pt>
                <c:pt idx="83">
                  <c:v>-2.8658715424307694E-2</c:v>
                </c:pt>
                <c:pt idx="84">
                  <c:v>-3.151121070266797E-2</c:v>
                </c:pt>
                <c:pt idx="85">
                  <c:v>-3.3889799358062571E-2</c:v>
                </c:pt>
                <c:pt idx="86">
                  <c:v>-3.4058836115298731E-2</c:v>
                </c:pt>
                <c:pt idx="87">
                  <c:v>-3.925067937326663E-2</c:v>
                </c:pt>
                <c:pt idx="88">
                  <c:v>-3.9546493698429906E-2</c:v>
                </c:pt>
                <c:pt idx="89">
                  <c:v>-4.7925887235708335E-2</c:v>
                </c:pt>
                <c:pt idx="90">
                  <c:v>-4.7925887235708335E-2</c:v>
                </c:pt>
                <c:pt idx="91">
                  <c:v>-4.8022479668414712E-2</c:v>
                </c:pt>
                <c:pt idx="92">
                  <c:v>-5.4011210496210237E-2</c:v>
                </c:pt>
                <c:pt idx="93">
                  <c:v>-6.175973470737512E-2</c:v>
                </c:pt>
                <c:pt idx="94">
                  <c:v>-6.175973470737512E-2</c:v>
                </c:pt>
                <c:pt idx="95">
                  <c:v>-6.5348747285121522E-2</c:v>
                </c:pt>
                <c:pt idx="96">
                  <c:v>-6.7718280399949898E-2</c:v>
                </c:pt>
                <c:pt idx="97">
                  <c:v>-7.9046761648294966E-2</c:v>
                </c:pt>
                <c:pt idx="98">
                  <c:v>-8.1594387060925727E-2</c:v>
                </c:pt>
                <c:pt idx="99">
                  <c:v>-8.1594387060925727E-2</c:v>
                </c:pt>
                <c:pt idx="100">
                  <c:v>-8.1956608683574655E-2</c:v>
                </c:pt>
                <c:pt idx="101">
                  <c:v>-8.2010941926971975E-2</c:v>
                </c:pt>
                <c:pt idx="102">
                  <c:v>-8.2010941926971975E-2</c:v>
                </c:pt>
                <c:pt idx="103">
                  <c:v>-8.5162270044017607E-2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1-479D-8B35-7E5EA6DA36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31-479D-8B35-7E5EA6DA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1504"/>
        <c:axId val="1"/>
      </c:scatterChart>
      <c:valAx>
        <c:axId val="2465115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693556078002096"/>
          <c:y val="0.9204921861831491"/>
          <c:w val="0.7409174327142756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182406-293F-13AB-198A-3EC95630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123825</xdr:rowOff>
    </xdr:from>
    <xdr:to>
      <xdr:col>26</xdr:col>
      <xdr:colOff>9525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066847-E37B-F1C8-35EB-D4CEEBA1D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39.pdf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77" TargetMode="External"/><Relationship Id="rId21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3423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konkoly.hu/cgi-bin/IBVS?3277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solj.cetus-net.org/no40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59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workbookViewId="0">
      <pane xSplit="14" ySplit="21" topLeftCell="O117" activePane="bottomRight" state="frozen"/>
      <selection pane="topRight" activeCell="O1" sqref="O1"/>
      <selection pane="bottomLeft" activeCell="A22" sqref="A22"/>
      <selection pane="bottomRight" activeCell="E8" sqref="E7:E8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style="46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47</v>
      </c>
      <c r="V1" s="4" t="s">
        <v>13</v>
      </c>
      <c r="W1" s="6" t="s">
        <v>25</v>
      </c>
    </row>
    <row r="2" spans="1:23" x14ac:dyDescent="0.2">
      <c r="A2" t="s">
        <v>27</v>
      </c>
      <c r="B2" s="11" t="s">
        <v>46</v>
      </c>
      <c r="V2">
        <v>-30000</v>
      </c>
      <c r="W2">
        <f>+D$11+D$12*V2+D$13*V2^2</f>
        <v>-0.34219148940094968</v>
      </c>
    </row>
    <row r="3" spans="1:23" x14ac:dyDescent="0.2">
      <c r="V3">
        <v>-25000</v>
      </c>
      <c r="W3">
        <f t="shared" ref="W3:W34" si="0">+D$11+D$12*V3+D$13*V3^2</f>
        <v>-0.24786450240943031</v>
      </c>
    </row>
    <row r="4" spans="1:23" ht="14.25" thickTop="1" thickBot="1" x14ac:dyDescent="0.25">
      <c r="A4" s="5" t="s">
        <v>3</v>
      </c>
      <c r="C4" s="2">
        <v>41236.315999999999</v>
      </c>
      <c r="D4" s="3">
        <v>0.78099525000000003</v>
      </c>
      <c r="V4">
        <v>-26000</v>
      </c>
      <c r="W4">
        <f t="shared" si="0"/>
        <v>-0.26553302079547475</v>
      </c>
    </row>
    <row r="5" spans="1:23" ht="13.5" thickTop="1" x14ac:dyDescent="0.2">
      <c r="A5" s="13" t="s">
        <v>48</v>
      </c>
      <c r="B5" s="14"/>
      <c r="C5" s="15">
        <v>-9.5</v>
      </c>
      <c r="D5" s="14" t="s">
        <v>49</v>
      </c>
      <c r="V5">
        <v>-24000</v>
      </c>
      <c r="W5">
        <f t="shared" si="0"/>
        <v>-0.23079442352951557</v>
      </c>
    </row>
    <row r="6" spans="1:23" x14ac:dyDescent="0.2">
      <c r="A6" s="5" t="s">
        <v>4</v>
      </c>
      <c r="V6">
        <v>-22000</v>
      </c>
      <c r="W6">
        <f t="shared" si="0"/>
        <v>-0.19844958428807519</v>
      </c>
    </row>
    <row r="7" spans="1:23" x14ac:dyDescent="0.2">
      <c r="A7" t="s">
        <v>5</v>
      </c>
      <c r="C7">
        <v>41236.315999999999</v>
      </c>
      <c r="V7">
        <v>-20000</v>
      </c>
      <c r="W7">
        <f t="shared" si="0"/>
        <v>-0.16849850307115369</v>
      </c>
    </row>
    <row r="8" spans="1:23" x14ac:dyDescent="0.2">
      <c r="A8" t="s">
        <v>6</v>
      </c>
      <c r="C8">
        <v>0.78099525000000003</v>
      </c>
      <c r="V8">
        <v>-18000</v>
      </c>
      <c r="W8">
        <f t="shared" si="0"/>
        <v>-0.14094117987875102</v>
      </c>
    </row>
    <row r="9" spans="1:23" x14ac:dyDescent="0.2">
      <c r="A9" s="29" t="s">
        <v>55</v>
      </c>
      <c r="B9" s="30">
        <v>100</v>
      </c>
      <c r="C9" s="18" t="str">
        <f>"F"&amp;B9</f>
        <v>F100</v>
      </c>
      <c r="D9" s="60" t="str">
        <f>"G"&amp;B9</f>
        <v>G100</v>
      </c>
      <c r="V9">
        <v>-16000</v>
      </c>
      <c r="W9">
        <f t="shared" si="0"/>
        <v>-0.1157776147108672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>
        <v>-14000</v>
      </c>
      <c r="W10">
        <f t="shared" si="0"/>
        <v>-9.3007807567502196E-2</v>
      </c>
    </row>
    <row r="11" spans="1:23" x14ac:dyDescent="0.2">
      <c r="A11" s="14" t="s">
        <v>19</v>
      </c>
      <c r="B11" s="14"/>
      <c r="C11" s="16">
        <f ca="1">INTERCEPT(INDIRECT($D$9):G992,INDIRECT($C$9):F992)</f>
        <v>5.9050231986606937E-2</v>
      </c>
      <c r="D11" s="17">
        <f>+E11*F11</f>
        <v>-6.4438225047483162E-4</v>
      </c>
      <c r="E11" s="63">
        <v>-6.4438225047483162E-4</v>
      </c>
      <c r="F11">
        <v>1</v>
      </c>
      <c r="V11">
        <v>-12000</v>
      </c>
      <c r="W11">
        <f t="shared" si="0"/>
        <v>-7.2631758448656047E-2</v>
      </c>
    </row>
    <row r="12" spans="1:23" x14ac:dyDescent="0.2">
      <c r="A12" s="14" t="s">
        <v>20</v>
      </c>
      <c r="B12" s="14"/>
      <c r="C12" s="16">
        <f ca="1">SLOPE(INDIRECT($D$9):G992,INDIRECT($C$9):F992)</f>
        <v>-6.0370270441487172E-6</v>
      </c>
      <c r="D12" s="17">
        <f>+E12*F12</f>
        <v>2.4083109797368382E-6</v>
      </c>
      <c r="E12" s="64">
        <v>2.4083109797368382E-2</v>
      </c>
      <c r="F12" s="65">
        <v>1E-4</v>
      </c>
      <c r="V12">
        <v>-10000</v>
      </c>
      <c r="W12">
        <f t="shared" si="0"/>
        <v>-5.464946735432874E-2</v>
      </c>
    </row>
    <row r="13" spans="1:23" ht="13.5" thickBot="1" x14ac:dyDescent="0.25">
      <c r="A13" s="14" t="s">
        <v>22</v>
      </c>
      <c r="B13" s="14"/>
      <c r="C13" s="17" t="s">
        <v>17</v>
      </c>
      <c r="D13" s="17">
        <f>+E13*F13</f>
        <v>-2.9921975306485523E-10</v>
      </c>
      <c r="E13" s="66">
        <v>-2.9921975306485524E-2</v>
      </c>
      <c r="F13" s="65">
        <v>1E-8</v>
      </c>
      <c r="V13">
        <v>-8000</v>
      </c>
      <c r="W13">
        <f t="shared" si="0"/>
        <v>-3.9060934284520274E-2</v>
      </c>
    </row>
    <row r="14" spans="1:23" x14ac:dyDescent="0.2">
      <c r="A14" s="14"/>
      <c r="B14" s="14"/>
      <c r="C14" s="14"/>
      <c r="E14">
        <f>SUM(T21:T950)</f>
        <v>2.4360036950841144E-2</v>
      </c>
      <c r="V14">
        <v>-6000</v>
      </c>
      <c r="W14">
        <f t="shared" si="0"/>
        <v>-2.5866159239230649E-2</v>
      </c>
    </row>
    <row r="15" spans="1:23" x14ac:dyDescent="0.2">
      <c r="A15" s="20" t="s">
        <v>21</v>
      </c>
      <c r="B15" s="14"/>
      <c r="C15" s="21">
        <f ca="1">(C7+C11)+(C8+C12)*INT(MAX(F21:F3533))</f>
        <v>59892.645369729958</v>
      </c>
      <c r="D15" s="19">
        <f>+C7+INT(MAX(F21:F1588))*C8+D11+D12*INT(MAX(F21:F4023))+D13*INT(MAX(F21:F4050)^2)</f>
        <v>59892.616671624652</v>
      </c>
      <c r="E15" s="22" t="s">
        <v>57</v>
      </c>
      <c r="F15" s="15">
        <v>1</v>
      </c>
      <c r="V15">
        <v>-4000</v>
      </c>
      <c r="W15">
        <f t="shared" si="0"/>
        <v>-1.506514221845987E-2</v>
      </c>
    </row>
    <row r="16" spans="1:23" x14ac:dyDescent="0.2">
      <c r="A16" s="24" t="s">
        <v>7</v>
      </c>
      <c r="B16" s="14"/>
      <c r="C16" s="25">
        <f ca="1">+C8+C12</f>
        <v>0.78098921297295587</v>
      </c>
      <c r="D16" s="19">
        <f>+C8+D12+2*D13*MAX(F21:F896)</f>
        <v>0.78098336278805736</v>
      </c>
      <c r="E16" s="22" t="s">
        <v>50</v>
      </c>
      <c r="F16" s="23">
        <f ca="1">NOW()+15018.5+$C$5/24</f>
        <v>60163.513053819443</v>
      </c>
      <c r="V16">
        <v>-2000</v>
      </c>
      <c r="W16">
        <f t="shared" si="0"/>
        <v>-6.657883222207929E-3</v>
      </c>
    </row>
    <row r="17" spans="1:23" ht="13.5" thickBot="1" x14ac:dyDescent="0.25">
      <c r="A17" s="22" t="s">
        <v>45</v>
      </c>
      <c r="B17" s="14"/>
      <c r="C17" s="14">
        <f>COUNT(C21:C2191)</f>
        <v>104</v>
      </c>
      <c r="E17" s="22" t="s">
        <v>58</v>
      </c>
      <c r="F17" s="23">
        <f ca="1">ROUND(2*(F16-$C$7)/$C$8,0)/2+F15</f>
        <v>24235.5</v>
      </c>
      <c r="V17">
        <v>0</v>
      </c>
      <c r="W17">
        <f t="shared" si="0"/>
        <v>-6.4438225047483162E-4</v>
      </c>
    </row>
    <row r="18" spans="1:23" ht="14.25" thickTop="1" thickBot="1" x14ac:dyDescent="0.25">
      <c r="A18" s="24" t="s">
        <v>8</v>
      </c>
      <c r="B18" s="14"/>
      <c r="C18" s="27">
        <f ca="1">+C15</f>
        <v>59892.645369729958</v>
      </c>
      <c r="D18" s="28">
        <f ca="1">+C16</f>
        <v>0.78098921297295587</v>
      </c>
      <c r="E18" s="22" t="s">
        <v>51</v>
      </c>
      <c r="F18" s="19">
        <f ca="1">ROUND(2*(F16-$C$15)/$C$16,0)/2+F15</f>
        <v>348</v>
      </c>
      <c r="V18">
        <v>2000</v>
      </c>
      <c r="W18">
        <f t="shared" si="0"/>
        <v>2.9753606967394242E-3</v>
      </c>
    </row>
    <row r="19" spans="1:23" ht="14.25" thickTop="1" thickBot="1" x14ac:dyDescent="0.25">
      <c r="A19" s="5" t="s">
        <v>391</v>
      </c>
      <c r="C19" s="67">
        <f>+D15</f>
        <v>59892.616671624652</v>
      </c>
      <c r="D19" s="68">
        <f>+D16</f>
        <v>0.78098336278805736</v>
      </c>
      <c r="E19" s="22" t="s">
        <v>52</v>
      </c>
      <c r="F19" s="26">
        <f ca="1">+$C$15+$C$16*F18-15018.5-$C$5/24</f>
        <v>45146.325449177886</v>
      </c>
      <c r="V19">
        <v>4000</v>
      </c>
      <c r="W19">
        <f t="shared" si="0"/>
        <v>4.2013456194348372E-3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1" t="s">
        <v>14</v>
      </c>
      <c r="H20" s="7" t="s">
        <v>68</v>
      </c>
      <c r="I20" s="7" t="s">
        <v>70</v>
      </c>
      <c r="J20" s="7" t="s">
        <v>60</v>
      </c>
      <c r="K20" s="7" t="s">
        <v>64</v>
      </c>
      <c r="L20" s="7" t="s">
        <v>384</v>
      </c>
      <c r="M20" s="7" t="s">
        <v>385</v>
      </c>
      <c r="N20" s="7" t="s">
        <v>386</v>
      </c>
      <c r="O20" s="7" t="s">
        <v>26</v>
      </c>
      <c r="P20" s="6" t="s">
        <v>25</v>
      </c>
      <c r="Q20" s="4" t="s">
        <v>18</v>
      </c>
      <c r="R20" s="6" t="s">
        <v>389</v>
      </c>
      <c r="S20" s="6" t="s">
        <v>388</v>
      </c>
      <c r="T20" s="6" t="s">
        <v>390</v>
      </c>
      <c r="U20" s="59" t="s">
        <v>387</v>
      </c>
      <c r="V20">
        <v>6000</v>
      </c>
      <c r="W20">
        <f t="shared" si="0"/>
        <v>3.0335725176114103E-3</v>
      </c>
    </row>
    <row r="21" spans="1:23" x14ac:dyDescent="0.2">
      <c r="A21" s="35" t="s">
        <v>76</v>
      </c>
      <c r="B21" s="32" t="s">
        <v>44</v>
      </c>
      <c r="C21" s="33">
        <v>19675.843000000001</v>
      </c>
      <c r="D21" s="33" t="s">
        <v>70</v>
      </c>
      <c r="E21" s="31">
        <f t="shared" ref="E21:E52" si="1">+(C21-C$7)/C$8</f>
        <v>-27606.407337304543</v>
      </c>
      <c r="F21" s="62">
        <f t="shared" ref="F21:F33" si="2">ROUND(2*E21,0)/2+0.5</f>
        <v>-27606</v>
      </c>
      <c r="G21" s="33">
        <f t="shared" ref="G21:G52" si="3">+C21-(C$7+F21*C$8)</f>
        <v>-0.31812849999550963</v>
      </c>
      <c r="H21" s="31">
        <f t="shared" ref="H21:H60" si="4">+G21</f>
        <v>-0.31812849999550963</v>
      </c>
      <c r="I21" s="31"/>
      <c r="L21" s="31"/>
      <c r="M21" s="31"/>
      <c r="N21" s="31"/>
      <c r="O21" s="31"/>
      <c r="P21" s="31">
        <f>+D$11+D$12*F21+D$13*F21^2</f>
        <v>-0.2951609666059003</v>
      </c>
      <c r="Q21" s="34">
        <f t="shared" ref="Q21:Q52" si="5">+C21-15018.5</f>
        <v>4657.3430000000008</v>
      </c>
      <c r="R21" s="31">
        <f>+(P21-G21)^2</f>
        <v>5.2750759000281936E-4</v>
      </c>
      <c r="S21" s="17">
        <v>0.2</v>
      </c>
      <c r="T21">
        <f>+S21*R21</f>
        <v>1.0550151800056388E-4</v>
      </c>
      <c r="V21">
        <v>8000</v>
      </c>
      <c r="W21">
        <f t="shared" si="0"/>
        <v>-5.2795860873085937E-4</v>
      </c>
    </row>
    <row r="22" spans="1:23" x14ac:dyDescent="0.2">
      <c r="A22" s="35" t="s">
        <v>81</v>
      </c>
      <c r="B22" s="32" t="s">
        <v>44</v>
      </c>
      <c r="C22" s="33">
        <v>23640.26</v>
      </c>
      <c r="D22" s="33" t="s">
        <v>70</v>
      </c>
      <c r="E22" s="31">
        <f t="shared" si="1"/>
        <v>-22530.298359689128</v>
      </c>
      <c r="F22" s="62">
        <f t="shared" si="2"/>
        <v>-22530</v>
      </c>
      <c r="G22" s="33">
        <f t="shared" si="3"/>
        <v>-0.23301749999882304</v>
      </c>
      <c r="H22" s="31">
        <f t="shared" si="4"/>
        <v>-0.23301749999882304</v>
      </c>
      <c r="I22" s="31"/>
      <c r="J22" s="31"/>
      <c r="L22" s="31"/>
      <c r="M22" s="31"/>
      <c r="N22" s="31"/>
      <c r="O22" s="31"/>
      <c r="P22" s="31">
        <f t="shared" ref="P22:P85" si="6">+D$11+D$12*F22+D$13*F22^2</f>
        <v>-0.20678784457744406</v>
      </c>
      <c r="Q22" s="34">
        <f t="shared" si="5"/>
        <v>8621.7599999999984</v>
      </c>
      <c r="R22" s="31">
        <f t="shared" ref="R22:R85" si="7">+(P22-G22)^2</f>
        <v>6.8799482352427561E-4</v>
      </c>
      <c r="S22" s="17">
        <v>0.2</v>
      </c>
      <c r="T22">
        <f t="shared" ref="T22:T85" si="8">+S22*R22</f>
        <v>1.3759896470485512E-4</v>
      </c>
      <c r="V22">
        <v>10000</v>
      </c>
      <c r="W22">
        <f t="shared" si="0"/>
        <v>-6.4832477595919737E-3</v>
      </c>
    </row>
    <row r="23" spans="1:23" x14ac:dyDescent="0.2">
      <c r="A23" s="35" t="s">
        <v>81</v>
      </c>
      <c r="B23" s="32" t="s">
        <v>44</v>
      </c>
      <c r="C23" s="33">
        <v>23643.39</v>
      </c>
      <c r="D23" s="33" t="s">
        <v>70</v>
      </c>
      <c r="E23" s="31">
        <f t="shared" si="1"/>
        <v>-22526.290652856082</v>
      </c>
      <c r="F23" s="62">
        <f t="shared" si="2"/>
        <v>-22526</v>
      </c>
      <c r="G23" s="33">
        <f t="shared" si="3"/>
        <v>-0.22699849999844446</v>
      </c>
      <c r="H23" s="31">
        <f t="shared" si="4"/>
        <v>-0.22699849999844446</v>
      </c>
      <c r="I23" s="31"/>
      <c r="J23" s="31"/>
      <c r="L23" s="31"/>
      <c r="M23" s="31"/>
      <c r="N23" s="31"/>
      <c r="O23" s="31"/>
      <c r="P23" s="31">
        <f t="shared" si="6"/>
        <v>-0.20672428475274876</v>
      </c>
      <c r="Q23" s="34">
        <f t="shared" si="5"/>
        <v>8624.89</v>
      </c>
      <c r="R23" s="31">
        <f t="shared" si="7"/>
        <v>4.110438038287999E-4</v>
      </c>
      <c r="S23" s="17">
        <v>0.2</v>
      </c>
      <c r="T23">
        <f t="shared" si="8"/>
        <v>8.2208760765759982E-5</v>
      </c>
      <c r="V23">
        <v>12000</v>
      </c>
      <c r="W23">
        <f t="shared" si="0"/>
        <v>-1.4832294934971926E-2</v>
      </c>
    </row>
    <row r="24" spans="1:23" x14ac:dyDescent="0.2">
      <c r="A24" s="35" t="s">
        <v>81</v>
      </c>
      <c r="B24" s="32" t="s">
        <v>44</v>
      </c>
      <c r="C24" s="33">
        <v>23644.2</v>
      </c>
      <c r="D24" s="33" t="s">
        <v>70</v>
      </c>
      <c r="E24" s="31">
        <f t="shared" si="1"/>
        <v>-22525.253514666059</v>
      </c>
      <c r="F24" s="62">
        <f t="shared" si="2"/>
        <v>-22525</v>
      </c>
      <c r="G24" s="33">
        <f t="shared" si="3"/>
        <v>-0.1979937499963853</v>
      </c>
      <c r="H24" s="31">
        <f t="shared" si="4"/>
        <v>-0.1979937499963853</v>
      </c>
      <c r="I24" s="31"/>
      <c r="J24" s="31"/>
      <c r="L24" s="31"/>
      <c r="M24" s="31"/>
      <c r="N24" s="31"/>
      <c r="O24" s="31"/>
      <c r="P24" s="31">
        <f t="shared" si="6"/>
        <v>-0.20670839629267371</v>
      </c>
      <c r="Q24" s="34">
        <f t="shared" si="5"/>
        <v>8625.7000000000007</v>
      </c>
      <c r="R24" s="31">
        <f t="shared" si="7"/>
        <v>7.5945060069413181E-5</v>
      </c>
      <c r="S24" s="17">
        <v>0.2</v>
      </c>
      <c r="T24">
        <f t="shared" si="8"/>
        <v>1.5189012013882637E-5</v>
      </c>
      <c r="V24">
        <v>14000</v>
      </c>
      <c r="W24">
        <f t="shared" si="0"/>
        <v>-2.5575100134870729E-2</v>
      </c>
    </row>
    <row r="25" spans="1:23" x14ac:dyDescent="0.2">
      <c r="A25" s="35" t="s">
        <v>81</v>
      </c>
      <c r="B25" s="32" t="s">
        <v>44</v>
      </c>
      <c r="C25" s="33">
        <v>23651.23</v>
      </c>
      <c r="D25" s="33" t="s">
        <v>70</v>
      </c>
      <c r="E25" s="31">
        <f t="shared" si="1"/>
        <v>-22516.252179510691</v>
      </c>
      <c r="F25" s="62">
        <f t="shared" si="2"/>
        <v>-22516</v>
      </c>
      <c r="G25" s="33">
        <f t="shared" si="3"/>
        <v>-0.19695099999808008</v>
      </c>
      <c r="H25" s="31">
        <f t="shared" si="4"/>
        <v>-0.19695099999808008</v>
      </c>
      <c r="I25" s="31"/>
      <c r="J25" s="31"/>
      <c r="L25" s="31"/>
      <c r="M25" s="31"/>
      <c r="N25" s="31"/>
      <c r="O25" s="31"/>
      <c r="P25" s="31">
        <f t="shared" si="6"/>
        <v>-0.20656542708177594</v>
      </c>
      <c r="Q25" s="34">
        <f t="shared" si="5"/>
        <v>8632.73</v>
      </c>
      <c r="R25" s="31">
        <f t="shared" si="7"/>
        <v>9.2437208147704567E-5</v>
      </c>
      <c r="S25" s="17">
        <v>0.2</v>
      </c>
      <c r="T25">
        <f t="shared" si="8"/>
        <v>1.8487441629540915E-5</v>
      </c>
      <c r="V25">
        <v>16000</v>
      </c>
      <c r="W25">
        <f t="shared" si="0"/>
        <v>-3.8711663359288363E-2</v>
      </c>
    </row>
    <row r="26" spans="1:23" x14ac:dyDescent="0.2">
      <c r="A26" s="35" t="s">
        <v>81</v>
      </c>
      <c r="B26" s="32" t="s">
        <v>44</v>
      </c>
      <c r="C26" s="33">
        <v>23654.35</v>
      </c>
      <c r="D26" s="33" t="s">
        <v>70</v>
      </c>
      <c r="E26" s="31">
        <f t="shared" si="1"/>
        <v>-22512.257276852837</v>
      </c>
      <c r="F26" s="62">
        <f t="shared" si="2"/>
        <v>-22512</v>
      </c>
      <c r="G26" s="33">
        <f t="shared" si="3"/>
        <v>-0.20093199999973876</v>
      </c>
      <c r="H26" s="31">
        <f t="shared" si="4"/>
        <v>-0.20093199999973876</v>
      </c>
      <c r="I26" s="31"/>
      <c r="J26" s="31"/>
      <c r="L26" s="31"/>
      <c r="M26" s="31"/>
      <c r="N26" s="31"/>
      <c r="O26" s="31"/>
      <c r="P26" s="31">
        <f t="shared" si="6"/>
        <v>-0.20650190076969294</v>
      </c>
      <c r="Q26" s="34">
        <f t="shared" si="5"/>
        <v>8635.8499999999985</v>
      </c>
      <c r="R26" s="31">
        <f t="shared" si="7"/>
        <v>3.1023794587136083E-5</v>
      </c>
      <c r="S26" s="17">
        <v>0.2</v>
      </c>
      <c r="T26">
        <f t="shared" si="8"/>
        <v>6.2047589174272165E-6</v>
      </c>
      <c r="V26">
        <v>18000</v>
      </c>
      <c r="W26">
        <f t="shared" si="0"/>
        <v>-5.4241984608224846E-2</v>
      </c>
    </row>
    <row r="27" spans="1:23" x14ac:dyDescent="0.2">
      <c r="A27" s="35" t="s">
        <v>81</v>
      </c>
      <c r="B27" s="32" t="s">
        <v>44</v>
      </c>
      <c r="C27" s="33">
        <v>23661.35</v>
      </c>
      <c r="D27" s="33" t="s">
        <v>70</v>
      </c>
      <c r="E27" s="31">
        <f t="shared" si="1"/>
        <v>-22503.294354223024</v>
      </c>
      <c r="F27" s="62">
        <f t="shared" si="2"/>
        <v>-22503</v>
      </c>
      <c r="G27" s="33">
        <f t="shared" si="3"/>
        <v>-0.22988925000026939</v>
      </c>
      <c r="H27" s="31">
        <f t="shared" si="4"/>
        <v>-0.22988925000026939</v>
      </c>
      <c r="I27" s="31"/>
      <c r="J27" s="31"/>
      <c r="L27" s="31"/>
      <c r="M27" s="31"/>
      <c r="N27" s="31"/>
      <c r="O27" s="31"/>
      <c r="P27" s="31">
        <f t="shared" si="6"/>
        <v>-0.20635900157621739</v>
      </c>
      <c r="Q27" s="34">
        <f t="shared" si="5"/>
        <v>8642.8499999999985</v>
      </c>
      <c r="R27" s="31">
        <f t="shared" si="7"/>
        <v>5.536725908976012E-4</v>
      </c>
      <c r="S27" s="17">
        <v>0.2</v>
      </c>
      <c r="T27">
        <f t="shared" si="8"/>
        <v>1.1073451817952025E-4</v>
      </c>
      <c r="V27">
        <v>20000</v>
      </c>
      <c r="W27">
        <f t="shared" si="0"/>
        <v>-7.2166063881680176E-2</v>
      </c>
    </row>
    <row r="28" spans="1:23" x14ac:dyDescent="0.2">
      <c r="A28" s="35" t="s">
        <v>81</v>
      </c>
      <c r="B28" s="32" t="s">
        <v>44</v>
      </c>
      <c r="C28" s="33">
        <v>23662.15</v>
      </c>
      <c r="D28" s="33" t="s">
        <v>70</v>
      </c>
      <c r="E28" s="31">
        <f t="shared" si="1"/>
        <v>-22502.270020208187</v>
      </c>
      <c r="F28" s="62">
        <f t="shared" si="2"/>
        <v>-22502</v>
      </c>
      <c r="G28" s="33">
        <f t="shared" si="3"/>
        <v>-0.21088449999660952</v>
      </c>
      <c r="H28" s="31">
        <f t="shared" si="4"/>
        <v>-0.21088449999660952</v>
      </c>
      <c r="I28" s="31"/>
      <c r="J28" s="31"/>
      <c r="L28" s="31"/>
      <c r="M28" s="31"/>
      <c r="N28" s="31"/>
      <c r="O28" s="31"/>
      <c r="P28" s="31">
        <f t="shared" si="6"/>
        <v>-0.206343126880251</v>
      </c>
      <c r="Q28" s="34">
        <f t="shared" si="5"/>
        <v>8643.6500000000015</v>
      </c>
      <c r="R28" s="31">
        <f t="shared" si="7"/>
        <v>2.0624069781983907E-5</v>
      </c>
      <c r="S28" s="17">
        <v>0.2</v>
      </c>
      <c r="T28">
        <f t="shared" si="8"/>
        <v>4.1248139563967817E-6</v>
      </c>
      <c r="V28">
        <v>22000</v>
      </c>
      <c r="W28">
        <f t="shared" si="0"/>
        <v>-9.2483901179654326E-2</v>
      </c>
    </row>
    <row r="29" spans="1:23" x14ac:dyDescent="0.2">
      <c r="A29" s="35" t="s">
        <v>81</v>
      </c>
      <c r="B29" s="32" t="s">
        <v>54</v>
      </c>
      <c r="C29" s="33">
        <v>23663.32</v>
      </c>
      <c r="D29" s="33" t="s">
        <v>70</v>
      </c>
      <c r="E29" s="31">
        <f t="shared" si="1"/>
        <v>-22500.77193171149</v>
      </c>
      <c r="F29" s="62">
        <f t="shared" si="2"/>
        <v>-22500.5</v>
      </c>
      <c r="G29" s="33">
        <f t="shared" si="3"/>
        <v>-0.21237737499905052</v>
      </c>
      <c r="H29" s="31">
        <f t="shared" si="4"/>
        <v>-0.21237737499905052</v>
      </c>
      <c r="I29" s="31"/>
      <c r="J29" s="31"/>
      <c r="L29" s="31"/>
      <c r="M29" s="31"/>
      <c r="N29" s="31"/>
      <c r="O29" s="31"/>
      <c r="P29" s="31">
        <f t="shared" si="6"/>
        <v>-0.20631931595837544</v>
      </c>
      <c r="Q29" s="34">
        <f t="shared" si="5"/>
        <v>8644.82</v>
      </c>
      <c r="R29" s="31">
        <f t="shared" si="7"/>
        <v>3.6700079340305055E-5</v>
      </c>
      <c r="S29" s="17">
        <v>0.2</v>
      </c>
      <c r="T29">
        <f t="shared" si="8"/>
        <v>7.3400158680610114E-6</v>
      </c>
      <c r="V29">
        <v>24000</v>
      </c>
      <c r="W29">
        <f t="shared" si="0"/>
        <v>-0.11519549650214733</v>
      </c>
    </row>
    <row r="30" spans="1:23" x14ac:dyDescent="0.2">
      <c r="A30" s="35" t="s">
        <v>81</v>
      </c>
      <c r="B30" s="32" t="s">
        <v>44</v>
      </c>
      <c r="C30" s="33">
        <v>23665.27</v>
      </c>
      <c r="D30" s="33" t="s">
        <v>70</v>
      </c>
      <c r="E30" s="31">
        <f t="shared" si="1"/>
        <v>-22498.275117550329</v>
      </c>
      <c r="F30" s="62">
        <f t="shared" si="2"/>
        <v>-22498</v>
      </c>
      <c r="G30" s="33">
        <f t="shared" si="3"/>
        <v>-0.21486549999826821</v>
      </c>
      <c r="H30" s="31">
        <f t="shared" si="4"/>
        <v>-0.21486549999826821</v>
      </c>
      <c r="I30" s="31"/>
      <c r="J30" s="31"/>
      <c r="L30" s="31"/>
      <c r="M30" s="31"/>
      <c r="N30" s="31"/>
      <c r="O30" s="31"/>
      <c r="P30" s="31">
        <f t="shared" si="6"/>
        <v>-0.20627963408078037</v>
      </c>
      <c r="Q30" s="34">
        <f t="shared" si="5"/>
        <v>8646.77</v>
      </c>
      <c r="R30" s="31">
        <f t="shared" si="7"/>
        <v>7.3717093553079196E-5</v>
      </c>
      <c r="S30" s="17">
        <v>0.2</v>
      </c>
      <c r="T30">
        <f t="shared" si="8"/>
        <v>1.4743418710615839E-5</v>
      </c>
      <c r="V30">
        <v>26000</v>
      </c>
      <c r="W30">
        <f t="shared" si="0"/>
        <v>-0.14030084984915919</v>
      </c>
    </row>
    <row r="31" spans="1:23" x14ac:dyDescent="0.2">
      <c r="A31" s="35" t="s">
        <v>81</v>
      </c>
      <c r="B31" s="32" t="s">
        <v>44</v>
      </c>
      <c r="C31" s="33">
        <v>23669.15</v>
      </c>
      <c r="D31" s="33" t="s">
        <v>70</v>
      </c>
      <c r="E31" s="31">
        <f t="shared" si="1"/>
        <v>-22493.307097578374</v>
      </c>
      <c r="F31" s="62">
        <f t="shared" si="2"/>
        <v>-22493</v>
      </c>
      <c r="G31" s="33">
        <f t="shared" si="3"/>
        <v>-0.23984174999714014</v>
      </c>
      <c r="H31" s="31">
        <f t="shared" si="4"/>
        <v>-0.23984174999714014</v>
      </c>
      <c r="I31" s="31"/>
      <c r="J31" s="31"/>
      <c r="L31" s="31"/>
      <c r="M31" s="31"/>
      <c r="N31" s="31"/>
      <c r="O31" s="31"/>
      <c r="P31" s="31">
        <f t="shared" si="6"/>
        <v>-0.20620028154633097</v>
      </c>
      <c r="Q31" s="34">
        <f t="shared" si="5"/>
        <v>8650.6500000000015</v>
      </c>
      <c r="R31" s="31">
        <f t="shared" si="7"/>
        <v>1.1317483995267892E-3</v>
      </c>
      <c r="S31" s="17">
        <v>0.2</v>
      </c>
      <c r="T31">
        <f t="shared" si="8"/>
        <v>2.2634967990535786E-4</v>
      </c>
      <c r="V31">
        <v>28000</v>
      </c>
      <c r="W31">
        <f t="shared" si="0"/>
        <v>-0.16779996122068988</v>
      </c>
    </row>
    <row r="32" spans="1:23" x14ac:dyDescent="0.2">
      <c r="A32" s="35" t="s">
        <v>81</v>
      </c>
      <c r="B32" s="32" t="s">
        <v>44</v>
      </c>
      <c r="C32" s="33">
        <v>23676.2</v>
      </c>
      <c r="D32" s="33" t="s">
        <v>70</v>
      </c>
      <c r="E32" s="31">
        <f t="shared" si="1"/>
        <v>-22484.280154072636</v>
      </c>
      <c r="F32" s="62">
        <f t="shared" si="2"/>
        <v>-22484</v>
      </c>
      <c r="G32" s="33">
        <f t="shared" si="3"/>
        <v>-0.21879899999839836</v>
      </c>
      <c r="H32" s="31">
        <f t="shared" si="4"/>
        <v>-0.21879899999839836</v>
      </c>
      <c r="I32" s="31"/>
      <c r="J32" s="31"/>
      <c r="L32" s="31"/>
      <c r="M32" s="31"/>
      <c r="N32" s="31"/>
      <c r="O32" s="31"/>
      <c r="P32" s="31">
        <f t="shared" si="6"/>
        <v>-0.20605748468601096</v>
      </c>
      <c r="Q32" s="34">
        <f t="shared" si="5"/>
        <v>8657.7000000000007</v>
      </c>
      <c r="R32" s="31">
        <f t="shared" si="7"/>
        <v>1.6234621245580266E-4</v>
      </c>
      <c r="S32" s="17">
        <v>0.2</v>
      </c>
      <c r="T32">
        <f t="shared" si="8"/>
        <v>3.2469242491160531E-5</v>
      </c>
      <c r="V32">
        <v>30000</v>
      </c>
      <c r="W32">
        <f t="shared" si="0"/>
        <v>-0.19769283061673942</v>
      </c>
    </row>
    <row r="33" spans="1:23" x14ac:dyDescent="0.2">
      <c r="A33" s="35" t="s">
        <v>81</v>
      </c>
      <c r="B33" s="32" t="s">
        <v>54</v>
      </c>
      <c r="C33" s="33">
        <v>23678.17</v>
      </c>
      <c r="D33" s="33" t="s">
        <v>70</v>
      </c>
      <c r="E33" s="31">
        <f t="shared" si="1"/>
        <v>-22481.757731561109</v>
      </c>
      <c r="F33" s="62">
        <f t="shared" si="2"/>
        <v>-22481.5</v>
      </c>
      <c r="G33" s="33">
        <f t="shared" si="3"/>
        <v>-0.20128712500081747</v>
      </c>
      <c r="H33" s="31">
        <f t="shared" si="4"/>
        <v>-0.20128712500081747</v>
      </c>
      <c r="I33" s="31"/>
      <c r="J33" s="31"/>
      <c r="L33" s="31"/>
      <c r="M33" s="31"/>
      <c r="N33" s="31"/>
      <c r="O33" s="31"/>
      <c r="P33" s="31">
        <f t="shared" si="6"/>
        <v>-0.20601782749404551</v>
      </c>
      <c r="Q33" s="34">
        <f t="shared" si="5"/>
        <v>8659.6699999999983</v>
      </c>
      <c r="R33" s="31">
        <f t="shared" si="7"/>
        <v>2.2379546079434042E-5</v>
      </c>
      <c r="S33" s="17">
        <v>0.2</v>
      </c>
      <c r="T33">
        <f t="shared" si="8"/>
        <v>4.4759092158868086E-6</v>
      </c>
      <c r="V33">
        <v>32000</v>
      </c>
      <c r="W33">
        <f t="shared" si="0"/>
        <v>-0.22997945803730779</v>
      </c>
    </row>
    <row r="34" spans="1:23" x14ac:dyDescent="0.2">
      <c r="A34" s="35" t="s">
        <v>81</v>
      </c>
      <c r="B34" s="32" t="s">
        <v>44</v>
      </c>
      <c r="C34" s="33">
        <v>23680.13</v>
      </c>
      <c r="D34" s="33" t="s">
        <v>70</v>
      </c>
      <c r="E34" s="31">
        <f t="shared" si="1"/>
        <v>-22479.248113224756</v>
      </c>
      <c r="F34" s="31">
        <f>ROUND(2*E34,0)/2</f>
        <v>-22479</v>
      </c>
      <c r="G34" s="33">
        <f t="shared" si="3"/>
        <v>-0.19377524999799789</v>
      </c>
      <c r="H34" s="31">
        <f t="shared" si="4"/>
        <v>-0.19377524999799789</v>
      </c>
      <c r="I34" s="31"/>
      <c r="J34" s="31"/>
      <c r="L34" s="31"/>
      <c r="M34" s="31"/>
      <c r="N34" s="31"/>
      <c r="O34" s="31"/>
      <c r="P34" s="31">
        <f t="shared" si="6"/>
        <v>-0.20597817404232702</v>
      </c>
      <c r="Q34" s="34">
        <f t="shared" si="5"/>
        <v>8661.630000000001</v>
      </c>
      <c r="R34" s="31">
        <f t="shared" si="7"/>
        <v>1.4891135523166594E-4</v>
      </c>
      <c r="S34" s="17">
        <v>0.2</v>
      </c>
      <c r="T34">
        <f t="shared" si="8"/>
        <v>2.9782271046333189E-5</v>
      </c>
      <c r="V34">
        <v>34000</v>
      </c>
      <c r="W34">
        <f t="shared" si="0"/>
        <v>-0.26465984348239496</v>
      </c>
    </row>
    <row r="35" spans="1:23" x14ac:dyDescent="0.2">
      <c r="A35" s="35" t="s">
        <v>81</v>
      </c>
      <c r="B35" s="32" t="s">
        <v>44</v>
      </c>
      <c r="C35" s="33">
        <v>23694.15</v>
      </c>
      <c r="D35" s="33" t="s">
        <v>70</v>
      </c>
      <c r="E35" s="31">
        <f t="shared" si="1"/>
        <v>-22461.296659614763</v>
      </c>
      <c r="F35" s="62">
        <f>ROUND(2*E35,0)/2+0.5</f>
        <v>-22461</v>
      </c>
      <c r="G35" s="33">
        <f t="shared" si="3"/>
        <v>-0.2316897499949846</v>
      </c>
      <c r="H35" s="31">
        <f t="shared" si="4"/>
        <v>-0.2316897499949846</v>
      </c>
      <c r="I35" s="31"/>
      <c r="J35" s="31"/>
      <c r="L35" s="31"/>
      <c r="M35" s="31"/>
      <c r="N35" s="31"/>
      <c r="O35" s="31"/>
      <c r="P35" s="31">
        <f t="shared" si="6"/>
        <v>-0.20569277960204252</v>
      </c>
      <c r="Q35" s="34">
        <f t="shared" si="5"/>
        <v>8675.6500000000015</v>
      </c>
      <c r="R35" s="31">
        <f t="shared" si="7"/>
        <v>6.7584246961150687E-4</v>
      </c>
      <c r="S35" s="17">
        <v>0.2</v>
      </c>
      <c r="T35">
        <f t="shared" si="8"/>
        <v>1.3516849392230138E-4</v>
      </c>
    </row>
    <row r="36" spans="1:23" x14ac:dyDescent="0.2">
      <c r="A36" s="35" t="s">
        <v>81</v>
      </c>
      <c r="B36" s="17" t="s">
        <v>44</v>
      </c>
      <c r="C36" s="46">
        <v>23697.3</v>
      </c>
      <c r="D36" s="46" t="s">
        <v>70</v>
      </c>
      <c r="E36" s="31">
        <f t="shared" si="1"/>
        <v>-22457.263344431351</v>
      </c>
      <c r="F36" s="62">
        <f>ROUND(2*E36,0)/2+0.5</f>
        <v>-22457</v>
      </c>
      <c r="G36" s="33">
        <f t="shared" si="3"/>
        <v>-0.20567074999780743</v>
      </c>
      <c r="H36" s="31">
        <f t="shared" si="4"/>
        <v>-0.20567074999780743</v>
      </c>
      <c r="I36" s="31"/>
      <c r="J36" s="31"/>
      <c r="L36" s="31"/>
      <c r="M36" s="31"/>
      <c r="N36" s="31"/>
      <c r="O36" s="31"/>
      <c r="P36" s="31">
        <f t="shared" si="6"/>
        <v>-0.20562938494665089</v>
      </c>
      <c r="Q36" s="34">
        <f t="shared" si="5"/>
        <v>8678.7999999999993</v>
      </c>
      <c r="R36" s="31">
        <f t="shared" si="7"/>
        <v>1.7110674571830784E-9</v>
      </c>
      <c r="S36" s="17">
        <v>0.2</v>
      </c>
      <c r="T36">
        <f t="shared" si="8"/>
        <v>3.4221349143661569E-10</v>
      </c>
    </row>
    <row r="37" spans="1:23" x14ac:dyDescent="0.2">
      <c r="A37" s="35" t="s">
        <v>81</v>
      </c>
      <c r="B37" s="17" t="s">
        <v>44</v>
      </c>
      <c r="C37" s="46">
        <v>23733.200000000001</v>
      </c>
      <c r="D37" s="46" t="s">
        <v>70</v>
      </c>
      <c r="E37" s="31">
        <f t="shared" si="1"/>
        <v>-22411.296355515602</v>
      </c>
      <c r="F37" s="62">
        <f>ROUND(2*E37,0)/2+0.5</f>
        <v>-22411</v>
      </c>
      <c r="G37" s="33">
        <f t="shared" si="3"/>
        <v>-0.23145224999825587</v>
      </c>
      <c r="H37" s="31">
        <f t="shared" si="4"/>
        <v>-0.23145224999825587</v>
      </c>
      <c r="I37" s="31"/>
      <c r="J37" s="31"/>
      <c r="L37" s="31"/>
      <c r="M37" s="31"/>
      <c r="N37" s="31"/>
      <c r="O37" s="31"/>
      <c r="P37" s="31">
        <f t="shared" si="6"/>
        <v>-0.20490103461507936</v>
      </c>
      <c r="Q37" s="34">
        <f t="shared" si="5"/>
        <v>8714.7000000000007</v>
      </c>
      <c r="R37" s="31">
        <f t="shared" si="7"/>
        <v>7.0496703832382884E-4</v>
      </c>
      <c r="S37" s="17">
        <v>0.2</v>
      </c>
      <c r="T37">
        <f t="shared" si="8"/>
        <v>1.4099340766476578E-4</v>
      </c>
    </row>
    <row r="38" spans="1:23" x14ac:dyDescent="0.2">
      <c r="A38" s="35" t="s">
        <v>120</v>
      </c>
      <c r="B38" s="17" t="s">
        <v>54</v>
      </c>
      <c r="C38" s="46">
        <v>25098.418000000001</v>
      </c>
      <c r="D38" s="46" t="s">
        <v>70</v>
      </c>
      <c r="E38" s="31">
        <f t="shared" si="1"/>
        <v>-20663.24731168339</v>
      </c>
      <c r="F38" s="31">
        <f t="shared" ref="F38:F43" si="9">ROUND(2*E38,0)/2</f>
        <v>-20663</v>
      </c>
      <c r="G38" s="33">
        <f t="shared" si="3"/>
        <v>-0.19314924999707728</v>
      </c>
      <c r="H38" s="31">
        <f t="shared" si="4"/>
        <v>-0.19314924999707728</v>
      </c>
      <c r="I38" s="31"/>
      <c r="J38" s="31"/>
      <c r="L38" s="31"/>
      <c r="M38" s="31"/>
      <c r="N38" s="31"/>
      <c r="O38" s="31"/>
      <c r="P38" s="31">
        <f t="shared" si="6"/>
        <v>-0.17816204882963416</v>
      </c>
      <c r="Q38" s="34">
        <f t="shared" si="5"/>
        <v>10079.918000000001</v>
      </c>
      <c r="R38" s="31">
        <f t="shared" si="7"/>
        <v>2.2461619883340844E-4</v>
      </c>
      <c r="S38" s="17">
        <v>0.2</v>
      </c>
      <c r="T38">
        <f t="shared" si="8"/>
        <v>4.4923239766681691E-5</v>
      </c>
    </row>
    <row r="39" spans="1:23" x14ac:dyDescent="0.2">
      <c r="A39" s="35" t="s">
        <v>120</v>
      </c>
      <c r="B39" s="17" t="s">
        <v>54</v>
      </c>
      <c r="C39" s="46">
        <v>25145.294999999998</v>
      </c>
      <c r="D39" s="46" t="s">
        <v>70</v>
      </c>
      <c r="E39" s="31">
        <f t="shared" si="1"/>
        <v>-20603.225179666584</v>
      </c>
      <c r="F39" s="31">
        <f t="shared" si="9"/>
        <v>-20603</v>
      </c>
      <c r="G39" s="33">
        <f t="shared" si="3"/>
        <v>-0.17586424999899464</v>
      </c>
      <c r="H39" s="31">
        <f t="shared" si="4"/>
        <v>-0.17586424999899464</v>
      </c>
      <c r="I39" s="31"/>
      <c r="J39" s="31"/>
      <c r="L39" s="31"/>
      <c r="M39" s="31"/>
      <c r="N39" s="31"/>
      <c r="O39" s="31"/>
      <c r="P39" s="31">
        <f t="shared" si="6"/>
        <v>-0.17727669403105148</v>
      </c>
      <c r="Q39" s="34">
        <f t="shared" si="5"/>
        <v>10126.794999999998</v>
      </c>
      <c r="R39" s="31">
        <f t="shared" si="7"/>
        <v>1.9949981436929895E-6</v>
      </c>
      <c r="S39" s="17">
        <v>0.2</v>
      </c>
      <c r="T39">
        <f t="shared" si="8"/>
        <v>3.9899962873859795E-7</v>
      </c>
    </row>
    <row r="40" spans="1:23" x14ac:dyDescent="0.2">
      <c r="A40" s="35" t="s">
        <v>120</v>
      </c>
      <c r="B40" s="17" t="s">
        <v>54</v>
      </c>
      <c r="C40" s="46">
        <v>25146.075000000001</v>
      </c>
      <c r="D40" s="46" t="s">
        <v>70</v>
      </c>
      <c r="E40" s="31">
        <f t="shared" si="1"/>
        <v>-20602.226454002117</v>
      </c>
      <c r="F40" s="31">
        <f t="shared" si="9"/>
        <v>-20602</v>
      </c>
      <c r="G40" s="33">
        <f t="shared" si="3"/>
        <v>-0.17685949999940931</v>
      </c>
      <c r="H40" s="31">
        <f t="shared" si="4"/>
        <v>-0.17685949999940931</v>
      </c>
      <c r="I40" s="31"/>
      <c r="J40" s="31"/>
      <c r="L40" s="31"/>
      <c r="M40" s="31"/>
      <c r="N40" s="31"/>
      <c r="O40" s="31"/>
      <c r="P40" s="31">
        <f t="shared" si="6"/>
        <v>-0.17726195637014669</v>
      </c>
      <c r="Q40" s="34">
        <f t="shared" si="5"/>
        <v>10127.575000000001</v>
      </c>
      <c r="R40" s="31">
        <f t="shared" si="7"/>
        <v>1.6197113034710403E-7</v>
      </c>
      <c r="S40" s="17">
        <v>0.2</v>
      </c>
      <c r="T40">
        <f t="shared" si="8"/>
        <v>3.2394226069420807E-8</v>
      </c>
    </row>
    <row r="41" spans="1:23" x14ac:dyDescent="0.2">
      <c r="A41" s="35" t="s">
        <v>130</v>
      </c>
      <c r="B41" s="17" t="s">
        <v>54</v>
      </c>
      <c r="C41" s="46">
        <v>25470.2</v>
      </c>
      <c r="D41" s="46" t="s">
        <v>70</v>
      </c>
      <c r="E41" s="31">
        <f t="shared" si="1"/>
        <v>-20187.2111258039</v>
      </c>
      <c r="F41" s="31">
        <f t="shared" si="9"/>
        <v>-20187</v>
      </c>
      <c r="G41" s="33">
        <f t="shared" si="3"/>
        <v>-0.16488824999760254</v>
      </c>
      <c r="H41" s="31">
        <f t="shared" si="4"/>
        <v>-0.16488824999760254</v>
      </c>
      <c r="I41" s="31"/>
      <c r="J41" s="31"/>
      <c r="L41" s="31"/>
      <c r="M41" s="31"/>
      <c r="N41" s="31"/>
      <c r="O41" s="31"/>
      <c r="P41" s="31">
        <f t="shared" si="6"/>
        <v>-0.17119748439283453</v>
      </c>
      <c r="Q41" s="34">
        <f t="shared" si="5"/>
        <v>10451.700000000001</v>
      </c>
      <c r="R41" s="31">
        <f t="shared" si="7"/>
        <v>3.9806438653978285E-5</v>
      </c>
      <c r="S41" s="17">
        <v>0.2</v>
      </c>
      <c r="T41">
        <f t="shared" si="8"/>
        <v>7.9612877307956567E-6</v>
      </c>
    </row>
    <row r="42" spans="1:23" x14ac:dyDescent="0.2">
      <c r="A42" s="35" t="s">
        <v>130</v>
      </c>
      <c r="B42" s="17" t="s">
        <v>54</v>
      </c>
      <c r="C42" s="46">
        <v>25484.23</v>
      </c>
      <c r="D42" s="46" t="s">
        <v>70</v>
      </c>
      <c r="E42" s="31">
        <f t="shared" si="1"/>
        <v>-20169.246868018723</v>
      </c>
      <c r="F42" s="31">
        <f t="shared" si="9"/>
        <v>-20169</v>
      </c>
      <c r="G42" s="33">
        <f t="shared" si="3"/>
        <v>-0.19280274999982794</v>
      </c>
      <c r="H42" s="31">
        <f t="shared" si="4"/>
        <v>-0.19280274999982794</v>
      </c>
      <c r="I42" s="31"/>
      <c r="J42" s="31"/>
      <c r="L42" s="31"/>
      <c r="M42" s="31"/>
      <c r="N42" s="31"/>
      <c r="O42" s="31"/>
      <c r="P42" s="31">
        <f t="shared" si="6"/>
        <v>-0.17093677917281491</v>
      </c>
      <c r="Q42" s="34">
        <f t="shared" si="5"/>
        <v>10465.73</v>
      </c>
      <c r="R42" s="31">
        <f t="shared" si="7"/>
        <v>4.7812068020778469E-4</v>
      </c>
      <c r="S42" s="17">
        <v>0.2</v>
      </c>
      <c r="T42">
        <f t="shared" si="8"/>
        <v>9.5624136041556944E-5</v>
      </c>
    </row>
    <row r="43" spans="1:23" x14ac:dyDescent="0.2">
      <c r="A43" s="35" t="s">
        <v>130</v>
      </c>
      <c r="B43" s="17" t="s">
        <v>54</v>
      </c>
      <c r="C43" s="46">
        <v>25491.27</v>
      </c>
      <c r="D43" s="46" t="s">
        <v>70</v>
      </c>
      <c r="E43" s="31">
        <f t="shared" si="1"/>
        <v>-20160.232728688166</v>
      </c>
      <c r="F43" s="31">
        <f t="shared" si="9"/>
        <v>-20160</v>
      </c>
      <c r="G43" s="33">
        <f t="shared" si="3"/>
        <v>-0.18175999999584747</v>
      </c>
      <c r="H43" s="31">
        <f t="shared" si="4"/>
        <v>-0.18175999999584747</v>
      </c>
      <c r="I43" s="31"/>
      <c r="J43" s="31"/>
      <c r="L43" s="31"/>
      <c r="M43" s="31"/>
      <c r="N43" s="31"/>
      <c r="O43" s="31"/>
      <c r="P43" s="31">
        <f t="shared" si="6"/>
        <v>-0.17080649927320513</v>
      </c>
      <c r="Q43" s="34">
        <f t="shared" si="5"/>
        <v>10472.77</v>
      </c>
      <c r="R43" s="31">
        <f t="shared" si="7"/>
        <v>1.1997917808092626E-4</v>
      </c>
      <c r="S43" s="17">
        <v>0.2</v>
      </c>
      <c r="T43">
        <f t="shared" si="8"/>
        <v>2.3995835616185255E-5</v>
      </c>
    </row>
    <row r="44" spans="1:23" x14ac:dyDescent="0.2">
      <c r="A44" s="35" t="s">
        <v>130</v>
      </c>
      <c r="B44" s="17" t="s">
        <v>54</v>
      </c>
      <c r="C44" s="46">
        <v>25495.16</v>
      </c>
      <c r="D44" s="46" t="s">
        <v>70</v>
      </c>
      <c r="E44" s="31">
        <f t="shared" si="1"/>
        <v>-20155.25190454103</v>
      </c>
      <c r="F44" s="62">
        <f>ROUND(2*E44,0)/2+0.5</f>
        <v>-20155</v>
      </c>
      <c r="G44" s="33">
        <f t="shared" si="3"/>
        <v>-0.19673624999632011</v>
      </c>
      <c r="H44" s="31">
        <f t="shared" si="4"/>
        <v>-0.19673624999632011</v>
      </c>
      <c r="I44" s="31"/>
      <c r="J44" s="31"/>
      <c r="L44" s="31"/>
      <c r="M44" s="31"/>
      <c r="N44" s="31"/>
      <c r="O44" s="31"/>
      <c r="P44" s="31">
        <f t="shared" si="6"/>
        <v>-0.17073414249658239</v>
      </c>
      <c r="Q44" s="34">
        <f t="shared" si="5"/>
        <v>10476.66</v>
      </c>
      <c r="R44" s="31">
        <f t="shared" si="7"/>
        <v>6.7610959442791654E-4</v>
      </c>
      <c r="S44" s="17">
        <v>0.2</v>
      </c>
      <c r="T44">
        <f t="shared" si="8"/>
        <v>1.352219188855833E-4</v>
      </c>
    </row>
    <row r="45" spans="1:23" x14ac:dyDescent="0.2">
      <c r="A45" s="35" t="s">
        <v>130</v>
      </c>
      <c r="B45" s="17" t="s">
        <v>54</v>
      </c>
      <c r="C45" s="46">
        <v>25502.21</v>
      </c>
      <c r="D45" s="46" t="s">
        <v>70</v>
      </c>
      <c r="E45" s="31">
        <f t="shared" si="1"/>
        <v>-20146.224961035292</v>
      </c>
      <c r="F45" s="31">
        <f t="shared" ref="F45:F76" si="10">ROUND(2*E45,0)/2</f>
        <v>-20146</v>
      </c>
      <c r="G45" s="33">
        <f t="shared" si="3"/>
        <v>-0.17569350000121631</v>
      </c>
      <c r="H45" s="31">
        <f t="shared" si="4"/>
        <v>-0.17569350000121631</v>
      </c>
      <c r="I45" s="31"/>
      <c r="J45" s="31"/>
      <c r="L45" s="31"/>
      <c r="M45" s="31"/>
      <c r="N45" s="31"/>
      <c r="O45" s="31"/>
      <c r="P45" s="31">
        <f t="shared" si="6"/>
        <v>-0.17060393800035034</v>
      </c>
      <c r="Q45" s="34">
        <f t="shared" si="5"/>
        <v>10483.709999999999</v>
      </c>
      <c r="R45" s="31">
        <f t="shared" si="7"/>
        <v>2.5903641360658775E-5</v>
      </c>
      <c r="S45" s="17">
        <v>0.2</v>
      </c>
      <c r="T45">
        <f t="shared" si="8"/>
        <v>5.1807282721317554E-6</v>
      </c>
    </row>
    <row r="46" spans="1:23" x14ac:dyDescent="0.2">
      <c r="A46" s="35" t="s">
        <v>130</v>
      </c>
      <c r="B46" s="17" t="s">
        <v>54</v>
      </c>
      <c r="C46" s="46">
        <v>25520.16</v>
      </c>
      <c r="D46" s="46" t="s">
        <v>70</v>
      </c>
      <c r="E46" s="31">
        <f t="shared" si="1"/>
        <v>-20123.241466577419</v>
      </c>
      <c r="F46" s="31">
        <f t="shared" si="10"/>
        <v>-20123</v>
      </c>
      <c r="G46" s="33">
        <f t="shared" si="3"/>
        <v>-0.18858424999780254</v>
      </c>
      <c r="H46" s="31">
        <f t="shared" si="4"/>
        <v>-0.18858424999780254</v>
      </c>
      <c r="I46" s="31"/>
      <c r="J46" s="31"/>
      <c r="L46" s="31"/>
      <c r="M46" s="31"/>
      <c r="N46" s="31"/>
      <c r="O46" s="31"/>
      <c r="P46" s="31">
        <f t="shared" si="6"/>
        <v>-0.17027141340238452</v>
      </c>
      <c r="Q46" s="34">
        <f t="shared" si="5"/>
        <v>10501.66</v>
      </c>
      <c r="R46" s="31">
        <f t="shared" si="7"/>
        <v>3.3535998417048146E-4</v>
      </c>
      <c r="S46" s="17">
        <v>0.2</v>
      </c>
      <c r="T46">
        <f t="shared" si="8"/>
        <v>6.7071996834096301E-5</v>
      </c>
    </row>
    <row r="47" spans="1:23" x14ac:dyDescent="0.2">
      <c r="A47" s="35" t="s">
        <v>130</v>
      </c>
      <c r="B47" s="17" t="s">
        <v>54</v>
      </c>
      <c r="C47" s="46">
        <v>25538.14</v>
      </c>
      <c r="D47" s="46" t="s">
        <v>70</v>
      </c>
      <c r="E47" s="31">
        <f t="shared" si="1"/>
        <v>-20100.219559593992</v>
      </c>
      <c r="F47" s="31">
        <f t="shared" si="10"/>
        <v>-20100</v>
      </c>
      <c r="G47" s="33">
        <f t="shared" si="3"/>
        <v>-0.17147499999919091</v>
      </c>
      <c r="H47" s="31">
        <f t="shared" si="4"/>
        <v>-0.17147499999919091</v>
      </c>
      <c r="I47" s="31"/>
      <c r="J47" s="31"/>
      <c r="L47" s="31"/>
      <c r="M47" s="31"/>
      <c r="N47" s="31"/>
      <c r="O47" s="31"/>
      <c r="P47" s="31">
        <f t="shared" si="6"/>
        <v>-0.16993920537891744</v>
      </c>
      <c r="Q47" s="34">
        <f t="shared" si="5"/>
        <v>10519.64</v>
      </c>
      <c r="R47" s="31">
        <f t="shared" si="7"/>
        <v>2.3586651156609578E-6</v>
      </c>
      <c r="S47" s="17">
        <v>0.2</v>
      </c>
      <c r="T47">
        <f t="shared" si="8"/>
        <v>4.7173302313219157E-7</v>
      </c>
    </row>
    <row r="48" spans="1:23" x14ac:dyDescent="0.2">
      <c r="A48" s="35" t="s">
        <v>130</v>
      </c>
      <c r="B48" s="17" t="s">
        <v>54</v>
      </c>
      <c r="C48" s="46">
        <v>25545.17</v>
      </c>
      <c r="D48" s="46" t="s">
        <v>70</v>
      </c>
      <c r="E48" s="31">
        <f t="shared" si="1"/>
        <v>-20091.218224438624</v>
      </c>
      <c r="F48" s="31">
        <f t="shared" si="10"/>
        <v>-20091</v>
      </c>
      <c r="G48" s="33">
        <f t="shared" si="3"/>
        <v>-0.17043225000088569</v>
      </c>
      <c r="H48" s="31">
        <f t="shared" si="4"/>
        <v>-0.17043225000088569</v>
      </c>
      <c r="I48" s="31"/>
      <c r="J48" s="31"/>
      <c r="L48" s="31"/>
      <c r="M48" s="31"/>
      <c r="N48" s="31"/>
      <c r="O48" s="31"/>
      <c r="P48" s="31">
        <f t="shared" si="6"/>
        <v>-0.16980929711024095</v>
      </c>
      <c r="Q48" s="34">
        <f t="shared" si="5"/>
        <v>10526.669999999998</v>
      </c>
      <c r="R48" s="31">
        <f t="shared" si="7"/>
        <v>3.8807030396263065E-7</v>
      </c>
      <c r="S48" s="17">
        <v>0.2</v>
      </c>
      <c r="T48">
        <f t="shared" si="8"/>
        <v>7.7614060792526141E-8</v>
      </c>
    </row>
    <row r="49" spans="1:20" x14ac:dyDescent="0.2">
      <c r="A49" s="35" t="s">
        <v>152</v>
      </c>
      <c r="B49" s="17" t="s">
        <v>54</v>
      </c>
      <c r="C49" s="46">
        <v>25628.738000000001</v>
      </c>
      <c r="D49" s="46" t="s">
        <v>70</v>
      </c>
      <c r="E49" s="31">
        <f t="shared" si="1"/>
        <v>-19984.216293248897</v>
      </c>
      <c r="F49" s="31">
        <f t="shared" si="10"/>
        <v>-19984</v>
      </c>
      <c r="G49" s="33">
        <f t="shared" si="3"/>
        <v>-0.16892399999778718</v>
      </c>
      <c r="H49" s="31">
        <f t="shared" si="4"/>
        <v>-0.16892399999778718</v>
      </c>
      <c r="I49" s="31"/>
      <c r="L49" s="31"/>
      <c r="M49" s="31"/>
      <c r="N49" s="31"/>
      <c r="O49" s="31"/>
      <c r="P49" s="31">
        <f t="shared" si="6"/>
        <v>-0.16826854605377317</v>
      </c>
      <c r="Q49" s="34">
        <f t="shared" si="5"/>
        <v>10610.238000000001</v>
      </c>
      <c r="R49" s="31">
        <f t="shared" si="7"/>
        <v>4.2961987272351592E-7</v>
      </c>
      <c r="S49" s="17">
        <v>0.2</v>
      </c>
      <c r="T49">
        <f t="shared" si="8"/>
        <v>8.5923974544703192E-8</v>
      </c>
    </row>
    <row r="50" spans="1:20" x14ac:dyDescent="0.2">
      <c r="A50" s="35" t="s">
        <v>130</v>
      </c>
      <c r="B50" s="17" t="s">
        <v>54</v>
      </c>
      <c r="C50" s="46">
        <v>25830.27</v>
      </c>
      <c r="D50" s="46" t="s">
        <v>70</v>
      </c>
      <c r="E50" s="31">
        <f t="shared" si="1"/>
        <v>-19726.171189901601</v>
      </c>
      <c r="F50" s="31">
        <f t="shared" si="10"/>
        <v>-19726</v>
      </c>
      <c r="G50" s="33">
        <f t="shared" si="3"/>
        <v>-0.13369849999799044</v>
      </c>
      <c r="H50" s="31">
        <f t="shared" si="4"/>
        <v>-0.13369849999799044</v>
      </c>
      <c r="I50" s="31"/>
      <c r="J50" s="31"/>
      <c r="L50" s="31"/>
      <c r="M50" s="31"/>
      <c r="N50" s="31"/>
      <c r="O50" s="31"/>
      <c r="P50" s="31">
        <f t="shared" si="6"/>
        <v>-0.16458164159129607</v>
      </c>
      <c r="Q50" s="34">
        <f t="shared" si="5"/>
        <v>10811.77</v>
      </c>
      <c r="R50" s="31">
        <f t="shared" si="7"/>
        <v>9.5376843467216417E-4</v>
      </c>
      <c r="S50" s="17">
        <v>0.2</v>
      </c>
      <c r="T50">
        <f t="shared" si="8"/>
        <v>1.9075368693443283E-4</v>
      </c>
    </row>
    <row r="51" spans="1:20" x14ac:dyDescent="0.2">
      <c r="A51" s="35" t="s">
        <v>130</v>
      </c>
      <c r="B51" s="17" t="s">
        <v>54</v>
      </c>
      <c r="C51" s="46">
        <v>25837.27</v>
      </c>
      <c r="D51" s="46" t="s">
        <v>70</v>
      </c>
      <c r="E51" s="31">
        <f t="shared" si="1"/>
        <v>-19717.208267271788</v>
      </c>
      <c r="F51" s="31">
        <f t="shared" si="10"/>
        <v>-19717</v>
      </c>
      <c r="G51" s="33">
        <f t="shared" si="3"/>
        <v>-0.16265574999852106</v>
      </c>
      <c r="H51" s="31">
        <f t="shared" si="4"/>
        <v>-0.16265574999852106</v>
      </c>
      <c r="I51" s="31"/>
      <c r="J51" s="31"/>
      <c r="L51" s="31"/>
      <c r="M51" s="31"/>
      <c r="N51" s="31"/>
      <c r="O51" s="31"/>
      <c r="P51" s="31">
        <f t="shared" si="6"/>
        <v>-0.16445374766999721</v>
      </c>
      <c r="Q51" s="34">
        <f t="shared" si="5"/>
        <v>10818.77</v>
      </c>
      <c r="R51" s="31">
        <f t="shared" si="7"/>
        <v>3.2327956266336507E-6</v>
      </c>
      <c r="S51" s="17">
        <v>0.2</v>
      </c>
      <c r="T51">
        <f t="shared" si="8"/>
        <v>6.4655912532673019E-7</v>
      </c>
    </row>
    <row r="52" spans="1:20" x14ac:dyDescent="0.2">
      <c r="A52" s="35" t="s">
        <v>130</v>
      </c>
      <c r="B52" s="17" t="s">
        <v>54</v>
      </c>
      <c r="C52" s="46">
        <v>25852.12</v>
      </c>
      <c r="D52" s="46" t="s">
        <v>70</v>
      </c>
      <c r="E52" s="31">
        <f t="shared" si="1"/>
        <v>-19698.194067121407</v>
      </c>
      <c r="F52" s="31">
        <f t="shared" si="10"/>
        <v>-19698</v>
      </c>
      <c r="G52" s="33">
        <f t="shared" si="3"/>
        <v>-0.15156550000028801</v>
      </c>
      <c r="H52" s="31">
        <f t="shared" si="4"/>
        <v>-0.15156550000028801</v>
      </c>
      <c r="I52" s="31"/>
      <c r="J52" s="31"/>
      <c r="L52" s="31"/>
      <c r="M52" s="31"/>
      <c r="N52" s="31"/>
      <c r="O52" s="31"/>
      <c r="P52" s="31">
        <f t="shared" si="6"/>
        <v>-0.16418390857660825</v>
      </c>
      <c r="Q52" s="34">
        <f t="shared" si="5"/>
        <v>10833.619999999999</v>
      </c>
      <c r="R52" s="31">
        <f t="shared" si="7"/>
        <v>1.5922423499895217E-4</v>
      </c>
      <c r="S52" s="17">
        <v>0.2</v>
      </c>
      <c r="T52">
        <f t="shared" si="8"/>
        <v>3.1844846999790436E-5</v>
      </c>
    </row>
    <row r="53" spans="1:20" x14ac:dyDescent="0.2">
      <c r="A53" s="35" t="s">
        <v>130</v>
      </c>
      <c r="B53" s="17" t="s">
        <v>54</v>
      </c>
      <c r="C53" s="46">
        <v>25855.23</v>
      </c>
      <c r="D53" s="46" t="s">
        <v>70</v>
      </c>
      <c r="E53" s="31">
        <f t="shared" ref="E53:E84" si="11">+(C53-C$7)/C$8</f>
        <v>-19694.21196863873</v>
      </c>
      <c r="F53" s="31">
        <f t="shared" si="10"/>
        <v>-19694</v>
      </c>
      <c r="G53" s="33">
        <f t="shared" ref="G53:G84" si="12">+C53-(C$7+F53*C$8)</f>
        <v>-0.16554649999670801</v>
      </c>
      <c r="H53" s="31">
        <f t="shared" si="4"/>
        <v>-0.16554649999670801</v>
      </c>
      <c r="I53" s="31"/>
      <c r="J53" s="31"/>
      <c r="L53" s="31"/>
      <c r="M53" s="31"/>
      <c r="N53" s="31"/>
      <c r="O53" s="31"/>
      <c r="P53" s="31">
        <f t="shared" si="6"/>
        <v>-0.16412712787463837</v>
      </c>
      <c r="Q53" s="34">
        <f t="shared" ref="Q53:Q84" si="13">+C53-15018.5</f>
        <v>10836.73</v>
      </c>
      <c r="R53" s="31">
        <f t="shared" si="7"/>
        <v>2.0146172209084568E-6</v>
      </c>
      <c r="S53" s="17">
        <v>0.2</v>
      </c>
      <c r="T53">
        <f t="shared" si="8"/>
        <v>4.0292344418169138E-7</v>
      </c>
    </row>
    <row r="54" spans="1:20" x14ac:dyDescent="0.2">
      <c r="A54" s="35" t="s">
        <v>130</v>
      </c>
      <c r="B54" s="17" t="s">
        <v>54</v>
      </c>
      <c r="C54" s="46">
        <v>25859.16</v>
      </c>
      <c r="D54" s="46" t="s">
        <v>70</v>
      </c>
      <c r="E54" s="31">
        <f t="shared" si="11"/>
        <v>-19689.17992779085</v>
      </c>
      <c r="F54" s="31">
        <f t="shared" si="10"/>
        <v>-19689</v>
      </c>
      <c r="G54" s="33">
        <f t="shared" si="12"/>
        <v>-0.14052274999630754</v>
      </c>
      <c r="H54" s="31">
        <f t="shared" si="4"/>
        <v>-0.14052274999630754</v>
      </c>
      <c r="I54" s="31"/>
      <c r="J54" s="31"/>
      <c r="L54" s="31"/>
      <c r="M54" s="31"/>
      <c r="N54" s="31"/>
      <c r="O54" s="31"/>
      <c r="P54" s="31">
        <f t="shared" si="6"/>
        <v>-0.16405616546206492</v>
      </c>
      <c r="Q54" s="34">
        <f t="shared" si="13"/>
        <v>10840.66</v>
      </c>
      <c r="R54" s="31">
        <f t="shared" si="7"/>
        <v>5.5382164348394855E-4</v>
      </c>
      <c r="S54" s="17">
        <v>0.2</v>
      </c>
      <c r="T54">
        <f t="shared" si="8"/>
        <v>1.1076432869678972E-4</v>
      </c>
    </row>
    <row r="55" spans="1:20" x14ac:dyDescent="0.2">
      <c r="A55" s="35" t="s">
        <v>130</v>
      </c>
      <c r="B55" s="17" t="s">
        <v>54</v>
      </c>
      <c r="C55" s="46">
        <v>25862.25</v>
      </c>
      <c r="D55" s="46" t="s">
        <v>70</v>
      </c>
      <c r="E55" s="31">
        <f t="shared" si="11"/>
        <v>-19685.223437658551</v>
      </c>
      <c r="F55" s="31">
        <f t="shared" si="10"/>
        <v>-19685</v>
      </c>
      <c r="G55" s="33">
        <f t="shared" si="12"/>
        <v>-0.17450375000044005</v>
      </c>
      <c r="H55" s="31">
        <f t="shared" si="4"/>
        <v>-0.17450375000044005</v>
      </c>
      <c r="I55" s="31"/>
      <c r="J55" s="31"/>
      <c r="L55" s="31"/>
      <c r="M55" s="31"/>
      <c r="N55" s="31"/>
      <c r="O55" s="31"/>
      <c r="P55" s="31">
        <f t="shared" si="6"/>
        <v>-0.16399940630391727</v>
      </c>
      <c r="Q55" s="34">
        <f t="shared" si="13"/>
        <v>10843.75</v>
      </c>
      <c r="R55" s="31">
        <f t="shared" si="7"/>
        <v>1.1034123649467793E-4</v>
      </c>
      <c r="S55" s="17">
        <v>0.2</v>
      </c>
      <c r="T55">
        <f t="shared" si="8"/>
        <v>2.2068247298935588E-5</v>
      </c>
    </row>
    <row r="56" spans="1:20" x14ac:dyDescent="0.2">
      <c r="A56" s="35" t="s">
        <v>130</v>
      </c>
      <c r="B56" s="17" t="s">
        <v>54</v>
      </c>
      <c r="C56" s="46">
        <v>25880.23</v>
      </c>
      <c r="D56" s="46" t="s">
        <v>70</v>
      </c>
      <c r="E56" s="31">
        <f t="shared" si="11"/>
        <v>-19662.20153067512</v>
      </c>
      <c r="F56" s="31">
        <f t="shared" si="10"/>
        <v>-19662</v>
      </c>
      <c r="G56" s="33">
        <f t="shared" si="12"/>
        <v>-0.15739449999819044</v>
      </c>
      <c r="H56" s="31">
        <f t="shared" si="4"/>
        <v>-0.15739449999819044</v>
      </c>
      <c r="I56" s="31"/>
      <c r="J56" s="31"/>
      <c r="L56" s="31"/>
      <c r="M56" s="31"/>
      <c r="N56" s="31"/>
      <c r="O56" s="31"/>
      <c r="P56" s="31">
        <f t="shared" si="6"/>
        <v>-0.16367322696003495</v>
      </c>
      <c r="Q56" s="34">
        <f t="shared" si="13"/>
        <v>10861.73</v>
      </c>
      <c r="R56" s="31">
        <f t="shared" si="7"/>
        <v>3.9422412261393131E-5</v>
      </c>
      <c r="S56" s="17">
        <v>0.2</v>
      </c>
      <c r="T56">
        <f t="shared" si="8"/>
        <v>7.8844824522786272E-6</v>
      </c>
    </row>
    <row r="57" spans="1:20" x14ac:dyDescent="0.2">
      <c r="A57" s="35" t="s">
        <v>130</v>
      </c>
      <c r="B57" s="17" t="s">
        <v>54</v>
      </c>
      <c r="C57" s="46">
        <v>25887.26</v>
      </c>
      <c r="D57" s="46" t="s">
        <v>70</v>
      </c>
      <c r="E57" s="31">
        <f t="shared" si="11"/>
        <v>-19653.200195519756</v>
      </c>
      <c r="F57" s="31">
        <f t="shared" si="10"/>
        <v>-19653</v>
      </c>
      <c r="G57" s="33">
        <f t="shared" si="12"/>
        <v>-0.15635174999988521</v>
      </c>
      <c r="H57" s="31">
        <f t="shared" si="4"/>
        <v>-0.15635174999988521</v>
      </c>
      <c r="I57" s="31"/>
      <c r="J57" s="31"/>
      <c r="L57" s="31"/>
      <c r="M57" s="31"/>
      <c r="N57" s="31"/>
      <c r="O57" s="31"/>
      <c r="P57" s="31">
        <f t="shared" si="6"/>
        <v>-0.16354567773989159</v>
      </c>
      <c r="Q57" s="34">
        <f t="shared" si="13"/>
        <v>10868.759999999998</v>
      </c>
      <c r="R57" s="31">
        <f t="shared" si="7"/>
        <v>5.1752596328433277E-5</v>
      </c>
      <c r="S57" s="17">
        <v>0.2</v>
      </c>
      <c r="T57">
        <f t="shared" si="8"/>
        <v>1.0350519265686657E-5</v>
      </c>
    </row>
    <row r="58" spans="1:20" x14ac:dyDescent="0.2">
      <c r="A58" s="35" t="s">
        <v>130</v>
      </c>
      <c r="B58" s="17" t="s">
        <v>54</v>
      </c>
      <c r="C58" s="46">
        <v>25891.16</v>
      </c>
      <c r="D58" s="46" t="s">
        <v>70</v>
      </c>
      <c r="E58" s="31">
        <f t="shared" si="11"/>
        <v>-19648.206567197431</v>
      </c>
      <c r="F58" s="31">
        <f t="shared" si="10"/>
        <v>-19648</v>
      </c>
      <c r="G58" s="33">
        <f t="shared" si="12"/>
        <v>-0.16132799999832059</v>
      </c>
      <c r="H58" s="31">
        <f t="shared" si="4"/>
        <v>-0.16132799999832059</v>
      </c>
      <c r="I58" s="31"/>
      <c r="J58" s="31"/>
      <c r="L58" s="31"/>
      <c r="M58" s="31"/>
      <c r="N58" s="31"/>
      <c r="O58" s="31"/>
      <c r="P58" s="31">
        <f t="shared" si="6"/>
        <v>-0.16347483800741691</v>
      </c>
      <c r="Q58" s="34">
        <f t="shared" si="13"/>
        <v>10872.66</v>
      </c>
      <c r="R58" s="31">
        <f t="shared" si="7"/>
        <v>4.6089134373006471E-6</v>
      </c>
      <c r="S58" s="17">
        <v>0.2</v>
      </c>
      <c r="T58">
        <f t="shared" si="8"/>
        <v>9.2178268746012947E-7</v>
      </c>
    </row>
    <row r="59" spans="1:20" x14ac:dyDescent="0.2">
      <c r="A59" s="35" t="s">
        <v>130</v>
      </c>
      <c r="B59" s="17" t="s">
        <v>54</v>
      </c>
      <c r="C59" s="46">
        <v>25909.119999999999</v>
      </c>
      <c r="D59" s="46" t="s">
        <v>70</v>
      </c>
      <c r="E59" s="31">
        <f t="shared" si="11"/>
        <v>-19625.210268564373</v>
      </c>
      <c r="F59" s="31">
        <f t="shared" si="10"/>
        <v>-19625</v>
      </c>
      <c r="G59" s="33">
        <f t="shared" si="12"/>
        <v>-0.16421875000014552</v>
      </c>
      <c r="H59" s="31">
        <f t="shared" si="4"/>
        <v>-0.16421875000014552</v>
      </c>
      <c r="I59" s="31"/>
      <c r="J59" s="31"/>
      <c r="L59" s="31"/>
      <c r="M59" s="31"/>
      <c r="N59" s="31"/>
      <c r="O59" s="31"/>
      <c r="P59" s="31">
        <f t="shared" si="6"/>
        <v>-0.16314916793555428</v>
      </c>
      <c r="Q59" s="34">
        <f t="shared" si="13"/>
        <v>10890.619999999999</v>
      </c>
      <c r="R59" s="31">
        <f t="shared" si="7"/>
        <v>1.144005792895248E-6</v>
      </c>
      <c r="S59" s="17">
        <v>0.2</v>
      </c>
      <c r="T59">
        <f t="shared" si="8"/>
        <v>2.2880115857904962E-7</v>
      </c>
    </row>
    <row r="60" spans="1:20" x14ac:dyDescent="0.2">
      <c r="A60" s="35" t="s">
        <v>130</v>
      </c>
      <c r="B60" s="17" t="s">
        <v>54</v>
      </c>
      <c r="C60" s="46">
        <v>25912.240000000002</v>
      </c>
      <c r="D60" s="46" t="s">
        <v>70</v>
      </c>
      <c r="E60" s="31">
        <f t="shared" si="11"/>
        <v>-19621.215365906512</v>
      </c>
      <c r="F60" s="31">
        <f t="shared" si="10"/>
        <v>-19621</v>
      </c>
      <c r="G60" s="33">
        <f t="shared" si="12"/>
        <v>-0.16819974999452825</v>
      </c>
      <c r="H60" s="31">
        <f t="shared" si="4"/>
        <v>-0.16819974999452825</v>
      </c>
      <c r="I60" s="31"/>
      <c r="J60" s="31"/>
      <c r="L60" s="31"/>
      <c r="M60" s="31"/>
      <c r="N60" s="31"/>
      <c r="O60" s="31"/>
      <c r="P60" s="31">
        <f t="shared" si="6"/>
        <v>-0.16309256197792021</v>
      </c>
      <c r="Q60" s="34">
        <f t="shared" si="13"/>
        <v>10893.740000000002</v>
      </c>
      <c r="R60" s="31">
        <f t="shared" si="7"/>
        <v>2.6083369436984694E-5</v>
      </c>
      <c r="S60" s="17">
        <v>0.2</v>
      </c>
      <c r="T60">
        <f t="shared" si="8"/>
        <v>5.2166738873969393E-6</v>
      </c>
    </row>
    <row r="61" spans="1:20" x14ac:dyDescent="0.2">
      <c r="A61" s="31" t="s">
        <v>15</v>
      </c>
      <c r="B61" s="32" t="s">
        <v>44</v>
      </c>
      <c r="C61" s="33">
        <f>C44</f>
        <v>25495.16</v>
      </c>
      <c r="D61" s="33" t="s">
        <v>17</v>
      </c>
      <c r="E61" s="31">
        <f t="shared" si="11"/>
        <v>-20155.25190454103</v>
      </c>
      <c r="F61" s="31">
        <f t="shared" si="10"/>
        <v>-20155.5</v>
      </c>
      <c r="G61" s="33">
        <f t="shared" si="12"/>
        <v>0.19376137500148616</v>
      </c>
      <c r="I61" s="31">
        <f t="shared" ref="I61:I78" si="14">+G61</f>
        <v>0.19376137500148616</v>
      </c>
      <c r="J61" s="31"/>
      <c r="K61" s="31"/>
      <c r="L61" s="31"/>
      <c r="M61" s="31"/>
      <c r="N61" s="31"/>
      <c r="O61" s="31"/>
      <c r="P61" s="31">
        <f t="shared" si="6"/>
        <v>-0.17074137750100021</v>
      </c>
      <c r="Q61" s="34">
        <f t="shared" si="13"/>
        <v>10476.66</v>
      </c>
      <c r="R61" s="31">
        <f t="shared" si="7"/>
        <v>0.13286225658188883</v>
      </c>
      <c r="S61" s="17">
        <v>0.1</v>
      </c>
      <c r="T61">
        <f t="shared" si="8"/>
        <v>1.3286225658188884E-2</v>
      </c>
    </row>
    <row r="62" spans="1:20" x14ac:dyDescent="0.2">
      <c r="A62" s="35" t="s">
        <v>372</v>
      </c>
      <c r="B62" s="17" t="s">
        <v>54</v>
      </c>
      <c r="C62" s="46">
        <v>55811.976999999999</v>
      </c>
      <c r="D62" s="46" t="s">
        <v>70</v>
      </c>
      <c r="E62" s="31">
        <f t="shared" si="11"/>
        <v>18662.931688765071</v>
      </c>
      <c r="F62" s="31">
        <f t="shared" si="10"/>
        <v>18663</v>
      </c>
      <c r="G62" s="33">
        <f t="shared" si="12"/>
        <v>-5.335075000039069E-2</v>
      </c>
      <c r="H62" s="31"/>
      <c r="I62" s="31">
        <f t="shared" si="14"/>
        <v>-5.335075000039069E-2</v>
      </c>
      <c r="J62" s="31"/>
      <c r="L62" s="31"/>
      <c r="M62" s="31"/>
      <c r="N62" s="31"/>
      <c r="O62" s="31">
        <f ca="1">+C$11+C$12*F62</f>
        <v>-5.3618803738340569E-2</v>
      </c>
      <c r="P62" s="31">
        <f t="shared" si="6"/>
        <v>-5.9918579222446242E-2</v>
      </c>
      <c r="Q62" s="34">
        <f t="shared" si="13"/>
        <v>40793.476999999999</v>
      </c>
      <c r="R62" s="31">
        <f t="shared" si="7"/>
        <v>4.3136380690086837E-5</v>
      </c>
      <c r="S62" s="17">
        <v>0.1</v>
      </c>
      <c r="T62">
        <f t="shared" si="8"/>
        <v>4.3136380690086842E-6</v>
      </c>
    </row>
    <row r="63" spans="1:20" x14ac:dyDescent="0.2">
      <c r="A63" s="35" t="s">
        <v>372</v>
      </c>
      <c r="B63" s="17" t="s">
        <v>54</v>
      </c>
      <c r="C63" s="46">
        <v>55811.976999999999</v>
      </c>
      <c r="D63" s="46" t="s">
        <v>70</v>
      </c>
      <c r="E63" s="31">
        <f t="shared" si="11"/>
        <v>18662.931688765071</v>
      </c>
      <c r="F63" s="31">
        <f t="shared" si="10"/>
        <v>18663</v>
      </c>
      <c r="G63" s="33">
        <f t="shared" si="12"/>
        <v>-5.335075000039069E-2</v>
      </c>
      <c r="H63" s="31"/>
      <c r="I63" s="31">
        <f t="shared" si="14"/>
        <v>-5.335075000039069E-2</v>
      </c>
      <c r="J63" s="31"/>
      <c r="L63" s="31"/>
      <c r="M63" s="31"/>
      <c r="N63" s="31"/>
      <c r="O63" s="31">
        <f ca="1">+C$11+C$12*F63</f>
        <v>-5.3618803738340569E-2</v>
      </c>
      <c r="P63" s="31">
        <f t="shared" si="6"/>
        <v>-5.9918579222446242E-2</v>
      </c>
      <c r="Q63" s="34">
        <f t="shared" si="13"/>
        <v>40793.476999999999</v>
      </c>
      <c r="R63" s="31">
        <f t="shared" si="7"/>
        <v>4.3136380690086837E-5</v>
      </c>
      <c r="S63" s="17">
        <v>0.1</v>
      </c>
      <c r="T63">
        <f t="shared" si="8"/>
        <v>4.3136380690086842E-6</v>
      </c>
    </row>
    <row r="64" spans="1:20" x14ac:dyDescent="0.2">
      <c r="A64" s="35" t="s">
        <v>366</v>
      </c>
      <c r="B64" s="17" t="s">
        <v>44</v>
      </c>
      <c r="C64" s="46">
        <v>55457.021999999997</v>
      </c>
      <c r="D64" s="46" t="s">
        <v>70</v>
      </c>
      <c r="E64" s="31">
        <f t="shared" si="11"/>
        <v>18208.441088470125</v>
      </c>
      <c r="F64" s="31">
        <f t="shared" si="10"/>
        <v>18208.5</v>
      </c>
      <c r="G64" s="33">
        <f t="shared" si="12"/>
        <v>-4.6009625002625398E-2</v>
      </c>
      <c r="H64" s="31"/>
      <c r="I64" s="31">
        <f t="shared" si="14"/>
        <v>-4.6009625002625398E-2</v>
      </c>
      <c r="J64" s="31"/>
      <c r="L64" s="31"/>
      <c r="M64" s="31"/>
      <c r="N64" s="31"/>
      <c r="O64" s="31">
        <f ca="1">+C$11+C$12*F64</f>
        <v>-5.0874974946774974E-2</v>
      </c>
      <c r="P64" s="31">
        <f t="shared" si="6"/>
        <v>-5.5998802991364685E-2</v>
      </c>
      <c r="Q64" s="34">
        <f t="shared" si="13"/>
        <v>40438.521999999997</v>
      </c>
      <c r="R64" s="31">
        <f t="shared" si="7"/>
        <v>9.978367689071346E-5</v>
      </c>
      <c r="S64" s="17">
        <v>0.1</v>
      </c>
      <c r="T64">
        <f t="shared" si="8"/>
        <v>9.9783676890713473E-6</v>
      </c>
    </row>
    <row r="65" spans="1:20" x14ac:dyDescent="0.2">
      <c r="A65" s="35" t="s">
        <v>291</v>
      </c>
      <c r="B65" s="17" t="s">
        <v>54</v>
      </c>
      <c r="C65" s="46">
        <v>51140.868000000002</v>
      </c>
      <c r="D65" s="46" t="s">
        <v>64</v>
      </c>
      <c r="E65" s="31">
        <f t="shared" si="11"/>
        <v>12681.961894134443</v>
      </c>
      <c r="F65" s="31">
        <f t="shared" si="10"/>
        <v>12682</v>
      </c>
      <c r="G65" s="33">
        <f t="shared" si="12"/>
        <v>-2.9760499994154088E-2</v>
      </c>
      <c r="H65" s="31"/>
      <c r="I65" s="31">
        <f t="shared" si="14"/>
        <v>-2.9760499994154088E-2</v>
      </c>
      <c r="J65" s="31"/>
      <c r="L65" s="31"/>
      <c r="M65" s="31"/>
      <c r="N65" s="31"/>
      <c r="O65" s="31">
        <f ca="1">+C$11+C$12*F65</f>
        <v>-1.751134498728709E-2</v>
      </c>
      <c r="P65" s="31">
        <f t="shared" si="6"/>
        <v>-1.8226630053381487E-2</v>
      </c>
      <c r="Q65" s="34">
        <f t="shared" si="13"/>
        <v>36122.368000000002</v>
      </c>
      <c r="R65" s="31">
        <f t="shared" si="7"/>
        <v>1.3303015581065777E-4</v>
      </c>
      <c r="S65" s="17">
        <v>0.1</v>
      </c>
      <c r="T65">
        <f t="shared" si="8"/>
        <v>1.3303015581065778E-5</v>
      </c>
    </row>
    <row r="66" spans="1:20" x14ac:dyDescent="0.2">
      <c r="A66" s="35" t="s">
        <v>318</v>
      </c>
      <c r="B66" s="17" t="s">
        <v>44</v>
      </c>
      <c r="C66" s="46">
        <v>52529.089</v>
      </c>
      <c r="D66" s="46" t="s">
        <v>70</v>
      </c>
      <c r="E66" s="31">
        <f t="shared" si="11"/>
        <v>14459.46438214573</v>
      </c>
      <c r="F66" s="31">
        <f t="shared" si="10"/>
        <v>14459.5</v>
      </c>
      <c r="G66" s="33">
        <f t="shared" si="12"/>
        <v>-2.7817374997539446E-2</v>
      </c>
      <c r="H66" s="31"/>
      <c r="I66" s="31">
        <f t="shared" si="14"/>
        <v>-2.7817374997539446E-2</v>
      </c>
      <c r="J66" s="31"/>
      <c r="L66" s="31"/>
      <c r="M66" s="31"/>
      <c r="N66" s="31"/>
      <c r="O66" s="31">
        <f ca="1">+C$11+C$12*F66</f>
        <v>-2.8242160558261446E-2</v>
      </c>
      <c r="P66" s="31">
        <f t="shared" si="6"/>
        <v>-2.8381419916081133E-2</v>
      </c>
      <c r="Q66" s="34">
        <f t="shared" si="13"/>
        <v>37510.589</v>
      </c>
      <c r="R66" s="31">
        <f t="shared" si="7"/>
        <v>3.181466701326981E-7</v>
      </c>
      <c r="S66" s="17">
        <v>0.1</v>
      </c>
      <c r="T66">
        <f t="shared" si="8"/>
        <v>3.181466701326981E-8</v>
      </c>
    </row>
    <row r="67" spans="1:20" x14ac:dyDescent="0.2">
      <c r="A67" s="31" t="s">
        <v>31</v>
      </c>
      <c r="B67" s="32"/>
      <c r="C67" s="33">
        <v>46679.434999999998</v>
      </c>
      <c r="D67" s="33"/>
      <c r="E67" s="31">
        <f t="shared" si="11"/>
        <v>6969.4649231221301</v>
      </c>
      <c r="F67" s="31">
        <f t="shared" si="10"/>
        <v>6969.5</v>
      </c>
      <c r="G67" s="33">
        <f t="shared" si="12"/>
        <v>-2.739487500366522E-2</v>
      </c>
      <c r="H67" s="31"/>
      <c r="I67" s="31">
        <f t="shared" si="14"/>
        <v>-2.739487500366522E-2</v>
      </c>
      <c r="K67" s="31"/>
      <c r="L67" s="31"/>
      <c r="M67" s="31"/>
      <c r="N67" s="31"/>
      <c r="O67" s="31"/>
      <c r="P67" s="31">
        <f t="shared" si="6"/>
        <v>1.606061708006562E-3</v>
      </c>
      <c r="Q67" s="34">
        <f t="shared" si="13"/>
        <v>31660.934999999998</v>
      </c>
      <c r="R67" s="31">
        <f t="shared" si="7"/>
        <v>8.4105433015439215E-4</v>
      </c>
      <c r="S67" s="17">
        <v>0.1</v>
      </c>
      <c r="T67">
        <f t="shared" si="8"/>
        <v>8.4105433015439215E-5</v>
      </c>
    </row>
    <row r="68" spans="1:20" x14ac:dyDescent="0.2">
      <c r="A68" s="31" t="s">
        <v>31</v>
      </c>
      <c r="B68" s="32"/>
      <c r="C68" s="33">
        <v>46346.343999999997</v>
      </c>
      <c r="D68" s="33"/>
      <c r="E68" s="31">
        <f t="shared" si="11"/>
        <v>6542.9693714526411</v>
      </c>
      <c r="F68" s="31">
        <f t="shared" si="10"/>
        <v>6543</v>
      </c>
      <c r="G68" s="33">
        <f t="shared" si="12"/>
        <v>-2.3920749998069368E-2</v>
      </c>
      <c r="H68" s="31"/>
      <c r="I68" s="31">
        <f t="shared" si="14"/>
        <v>-2.3920749998069368E-2</v>
      </c>
      <c r="K68" s="31"/>
      <c r="L68" s="31"/>
      <c r="M68" s="31"/>
      <c r="N68" s="31"/>
      <c r="O68" s="31"/>
      <c r="P68" s="31">
        <f t="shared" si="6"/>
        <v>2.303344823666495E-3</v>
      </c>
      <c r="Q68" s="34">
        <f t="shared" si="13"/>
        <v>31327.843999999997</v>
      </c>
      <c r="R68" s="31">
        <f t="shared" si="7"/>
        <v>6.8770314921939369E-4</v>
      </c>
      <c r="S68" s="17">
        <v>0.1</v>
      </c>
      <c r="T68">
        <f t="shared" si="8"/>
        <v>6.8770314921939377E-5</v>
      </c>
    </row>
    <row r="69" spans="1:20" x14ac:dyDescent="0.2">
      <c r="A69" s="35" t="s">
        <v>260</v>
      </c>
      <c r="B69" s="17" t="s">
        <v>54</v>
      </c>
      <c r="C69" s="46">
        <v>47776.353999999999</v>
      </c>
      <c r="D69" s="46" t="s">
        <v>70</v>
      </c>
      <c r="E69" s="31">
        <f t="shared" si="11"/>
        <v>8373.9792271463884</v>
      </c>
      <c r="F69" s="31">
        <f t="shared" si="10"/>
        <v>8374</v>
      </c>
      <c r="G69" s="33">
        <f t="shared" si="12"/>
        <v>-1.6223500002524815E-2</v>
      </c>
      <c r="H69" s="31"/>
      <c r="I69" s="31">
        <f t="shared" si="14"/>
        <v>-1.6223500002524815E-2</v>
      </c>
      <c r="J69" s="31"/>
      <c r="L69" s="31"/>
      <c r="M69" s="31"/>
      <c r="N69" s="31"/>
      <c r="O69" s="31"/>
      <c r="P69" s="31">
        <f t="shared" si="6"/>
        <v>-1.4596349668290765E-3</v>
      </c>
      <c r="Q69" s="34">
        <f t="shared" si="13"/>
        <v>32757.853999999999</v>
      </c>
      <c r="R69" s="31">
        <f t="shared" si="7"/>
        <v>2.1797171079223916E-4</v>
      </c>
      <c r="S69" s="17">
        <v>0.1</v>
      </c>
      <c r="T69">
        <f t="shared" si="8"/>
        <v>2.1797171079223916E-5</v>
      </c>
    </row>
    <row r="70" spans="1:20" x14ac:dyDescent="0.2">
      <c r="A70" s="35" t="s">
        <v>276</v>
      </c>
      <c r="B70" s="17" t="s">
        <v>54</v>
      </c>
      <c r="C70" s="46">
        <v>48525.332000000002</v>
      </c>
      <c r="D70" s="46" t="s">
        <v>70</v>
      </c>
      <c r="E70" s="31">
        <f t="shared" si="11"/>
        <v>9332.9837793507741</v>
      </c>
      <c r="F70" s="31">
        <f t="shared" si="10"/>
        <v>9333</v>
      </c>
      <c r="G70" s="33">
        <f t="shared" si="12"/>
        <v>-1.2668249997659586E-2</v>
      </c>
      <c r="H70" s="31"/>
      <c r="I70" s="31">
        <f t="shared" si="14"/>
        <v>-1.2668249997659586E-2</v>
      </c>
      <c r="J70" s="31"/>
      <c r="L70" s="31"/>
      <c r="M70" s="31"/>
      <c r="N70" s="31"/>
      <c r="O70" s="31">
        <f ca="1">+C$11+C$12*F70</f>
        <v>2.7066585835669593E-3</v>
      </c>
      <c r="P70" s="31">
        <f t="shared" si="6"/>
        <v>-4.2311192539125422E-3</v>
      </c>
      <c r="Q70" s="34">
        <f t="shared" si="13"/>
        <v>33506.832000000002</v>
      </c>
      <c r="R70" s="31">
        <f t="shared" si="7"/>
        <v>7.1185175187081547E-5</v>
      </c>
      <c r="S70" s="17">
        <v>0.1</v>
      </c>
      <c r="T70">
        <f t="shared" si="8"/>
        <v>7.118517518708155E-6</v>
      </c>
    </row>
    <row r="71" spans="1:20" x14ac:dyDescent="0.2">
      <c r="A71" s="31" t="s">
        <v>31</v>
      </c>
      <c r="B71" s="32"/>
      <c r="C71" s="33">
        <v>46350.264000000003</v>
      </c>
      <c r="D71" s="33"/>
      <c r="E71" s="31">
        <f t="shared" si="11"/>
        <v>6547.9886081253426</v>
      </c>
      <c r="F71" s="31">
        <f t="shared" si="10"/>
        <v>6548</v>
      </c>
      <c r="G71" s="33">
        <f t="shared" si="12"/>
        <v>-8.8969999997061677E-3</v>
      </c>
      <c r="H71" s="31"/>
      <c r="I71" s="31">
        <f t="shared" si="14"/>
        <v>-8.8969999997061677E-3</v>
      </c>
      <c r="K71" s="31"/>
      <c r="L71" s="31"/>
      <c r="M71" s="31"/>
      <c r="N71" s="31"/>
      <c r="O71" s="31"/>
      <c r="P71" s="31">
        <f t="shared" si="6"/>
        <v>2.2958009496283228E-3</v>
      </c>
      <c r="Q71" s="34">
        <f t="shared" si="13"/>
        <v>31331.764000000003</v>
      </c>
      <c r="R71" s="31">
        <f t="shared" si="7"/>
        <v>1.2527879309142306E-4</v>
      </c>
      <c r="S71" s="17">
        <v>0.1</v>
      </c>
      <c r="T71">
        <f t="shared" si="8"/>
        <v>1.2527879309142308E-5</v>
      </c>
    </row>
    <row r="72" spans="1:20" x14ac:dyDescent="0.2">
      <c r="A72" s="35" t="s">
        <v>291</v>
      </c>
      <c r="B72" s="17" t="s">
        <v>54</v>
      </c>
      <c r="C72" s="46">
        <v>50719.934999999998</v>
      </c>
      <c r="D72" s="46" t="s">
        <v>70</v>
      </c>
      <c r="E72" s="31">
        <f t="shared" si="11"/>
        <v>12142.991906800968</v>
      </c>
      <c r="F72" s="31">
        <f t="shared" si="10"/>
        <v>12143</v>
      </c>
      <c r="G72" s="33">
        <f t="shared" si="12"/>
        <v>-6.3207500061253086E-3</v>
      </c>
      <c r="H72" s="31"/>
      <c r="I72" s="31">
        <f t="shared" si="14"/>
        <v>-6.3207500061253086E-3</v>
      </c>
      <c r="J72" s="31"/>
      <c r="L72" s="31"/>
      <c r="M72" s="31"/>
      <c r="N72" s="31"/>
      <c r="O72" s="31">
        <f ca="1">+C$11+C$12*F72</f>
        <v>-1.4257387410490936E-2</v>
      </c>
      <c r="P72" s="31">
        <f t="shared" si="6"/>
        <v>-1.5520947402118564E-2</v>
      </c>
      <c r="Q72" s="34">
        <f t="shared" si="13"/>
        <v>35701.434999999998</v>
      </c>
      <c r="R72" s="31">
        <f t="shared" si="7"/>
        <v>8.464363212524109E-5</v>
      </c>
      <c r="S72" s="17">
        <v>0.1</v>
      </c>
      <c r="T72">
        <f t="shared" si="8"/>
        <v>8.464363212524109E-6</v>
      </c>
    </row>
    <row r="73" spans="1:20" x14ac:dyDescent="0.2">
      <c r="A73" s="35" t="s">
        <v>256</v>
      </c>
      <c r="B73" s="17" t="s">
        <v>54</v>
      </c>
      <c r="C73" s="46">
        <v>47477.243999999999</v>
      </c>
      <c r="D73" s="46" t="s">
        <v>70</v>
      </c>
      <c r="E73" s="31">
        <f t="shared" si="11"/>
        <v>7990.993543174558</v>
      </c>
      <c r="F73" s="31">
        <f t="shared" si="10"/>
        <v>7991</v>
      </c>
      <c r="G73" s="33">
        <f t="shared" si="12"/>
        <v>-5.0427500027581118E-3</v>
      </c>
      <c r="H73" s="31"/>
      <c r="I73" s="31">
        <f t="shared" si="14"/>
        <v>-5.0427500027581118E-3</v>
      </c>
      <c r="J73" s="31"/>
      <c r="L73" s="31"/>
      <c r="M73" s="31"/>
      <c r="N73" s="31"/>
      <c r="O73" s="31"/>
      <c r="P73" s="31">
        <f t="shared" si="6"/>
        <v>-5.0656999990715199E-4</v>
      </c>
      <c r="Q73" s="34">
        <f t="shared" si="13"/>
        <v>32458.743999999999</v>
      </c>
      <c r="R73" s="31">
        <f t="shared" si="7"/>
        <v>2.0576929018264933E-5</v>
      </c>
      <c r="S73" s="17">
        <v>0.1</v>
      </c>
      <c r="T73">
        <f t="shared" si="8"/>
        <v>2.0576929018264934E-6</v>
      </c>
    </row>
    <row r="74" spans="1:20" x14ac:dyDescent="0.2">
      <c r="A74" s="31" t="s">
        <v>31</v>
      </c>
      <c r="B74" s="32"/>
      <c r="C74" s="33">
        <v>46627.523999999998</v>
      </c>
      <c r="D74" s="33"/>
      <c r="E74" s="31">
        <f t="shared" si="11"/>
        <v>6902.9971693169691</v>
      </c>
      <c r="F74" s="31">
        <f t="shared" si="10"/>
        <v>6903</v>
      </c>
      <c r="G74" s="33">
        <f t="shared" si="12"/>
        <v>-2.2107500044512562E-3</v>
      </c>
      <c r="H74" s="31"/>
      <c r="I74" s="31">
        <f t="shared" si="14"/>
        <v>-2.2107500044512562E-3</v>
      </c>
      <c r="K74" s="31"/>
      <c r="L74" s="31"/>
      <c r="M74" s="31"/>
      <c r="N74" s="31"/>
      <c r="O74" s="31"/>
      <c r="P74" s="31">
        <f t="shared" si="6"/>
        <v>1.7219456084761435E-3</v>
      </c>
      <c r="Q74" s="34">
        <f t="shared" si="13"/>
        <v>31609.023999999998</v>
      </c>
      <c r="R74" s="31">
        <f t="shared" si="7"/>
        <v>1.5466094783938416E-5</v>
      </c>
      <c r="S74" s="17">
        <v>0.1</v>
      </c>
      <c r="T74">
        <f t="shared" si="8"/>
        <v>1.5466094783938417E-6</v>
      </c>
    </row>
    <row r="75" spans="1:20" x14ac:dyDescent="0.2">
      <c r="A75" s="31" t="s">
        <v>32</v>
      </c>
      <c r="B75" s="32"/>
      <c r="C75" s="33">
        <v>46645.491000000002</v>
      </c>
      <c r="D75" s="33"/>
      <c r="E75" s="31">
        <f t="shared" si="11"/>
        <v>6926.0024308726624</v>
      </c>
      <c r="F75" s="31">
        <f t="shared" si="10"/>
        <v>6926</v>
      </c>
      <c r="G75" s="33">
        <f t="shared" si="12"/>
        <v>1.8984999987878837E-3</v>
      </c>
      <c r="H75" s="31"/>
      <c r="I75" s="31">
        <f t="shared" si="14"/>
        <v>1.8984999987878837E-3</v>
      </c>
      <c r="J75" s="31"/>
      <c r="K75" s="31"/>
      <c r="L75" s="31"/>
      <c r="M75" s="31"/>
      <c r="N75" s="31"/>
      <c r="O75" s="31"/>
      <c r="P75" s="31">
        <f t="shared" si="6"/>
        <v>1.6821648318120132E-3</v>
      </c>
      <c r="Q75" s="34">
        <f t="shared" si="13"/>
        <v>31626.991000000002</v>
      </c>
      <c r="R75" s="31">
        <f t="shared" si="7"/>
        <v>4.6800904470477733E-8</v>
      </c>
      <c r="S75" s="17">
        <v>0.1</v>
      </c>
      <c r="T75">
        <f t="shared" si="8"/>
        <v>4.6800904470477736E-9</v>
      </c>
    </row>
    <row r="76" spans="1:20" x14ac:dyDescent="0.2">
      <c r="A76" s="31" t="s">
        <v>33</v>
      </c>
      <c r="B76" s="32" t="s">
        <v>44</v>
      </c>
      <c r="C76" s="33">
        <v>46677.512000000002</v>
      </c>
      <c r="D76" s="33"/>
      <c r="E76" s="31">
        <f t="shared" si="11"/>
        <v>6967.0026802339753</v>
      </c>
      <c r="F76" s="31">
        <f t="shared" si="10"/>
        <v>6967</v>
      </c>
      <c r="G76" s="33">
        <f t="shared" si="12"/>
        <v>2.0932500046910718E-3</v>
      </c>
      <c r="H76" s="31"/>
      <c r="I76" s="31">
        <f t="shared" si="14"/>
        <v>2.0932500046910718E-3</v>
      </c>
      <c r="J76" s="31"/>
      <c r="K76" s="31"/>
      <c r="L76" s="31"/>
      <c r="M76" s="31"/>
      <c r="O76" s="31"/>
      <c r="P76" s="31">
        <f t="shared" si="6"/>
        <v>1.6104661207786888E-3</v>
      </c>
      <c r="Q76" s="34">
        <f t="shared" si="13"/>
        <v>31659.012000000002</v>
      </c>
      <c r="R76" s="31">
        <f t="shared" si="7"/>
        <v>2.3308027856552535E-7</v>
      </c>
      <c r="S76" s="17">
        <v>0.1</v>
      </c>
      <c r="T76">
        <f t="shared" si="8"/>
        <v>2.3308027856552537E-8</v>
      </c>
    </row>
    <row r="77" spans="1:20" x14ac:dyDescent="0.2">
      <c r="A77" s="31" t="s">
        <v>30</v>
      </c>
      <c r="B77" s="32"/>
      <c r="C77" s="33">
        <v>46292.483999999997</v>
      </c>
      <c r="D77" s="33"/>
      <c r="E77" s="31">
        <f t="shared" si="11"/>
        <v>6474.006083903836</v>
      </c>
      <c r="F77" s="31">
        <f t="shared" ref="F77:F117" si="15">ROUND(2*E77,0)/2</f>
        <v>6474</v>
      </c>
      <c r="G77" s="33">
        <f t="shared" si="12"/>
        <v>4.7514999969280325E-3</v>
      </c>
      <c r="H77" s="31"/>
      <c r="I77" s="31">
        <f t="shared" si="14"/>
        <v>4.7514999969280325E-3</v>
      </c>
      <c r="J77" s="31"/>
      <c r="K77" s="31"/>
      <c r="L77" s="31"/>
      <c r="M77" s="31"/>
      <c r="O77" s="31"/>
      <c r="P77" s="31">
        <f t="shared" si="6"/>
        <v>2.4059224693341753E-3</v>
      </c>
      <c r="Q77" s="34">
        <f t="shared" si="13"/>
        <v>31273.983999999997</v>
      </c>
      <c r="R77" s="31">
        <f t="shared" si="7"/>
        <v>5.5017339379533118E-6</v>
      </c>
      <c r="S77" s="17">
        <v>0.1</v>
      </c>
      <c r="T77">
        <f t="shared" si="8"/>
        <v>5.501733937953312E-7</v>
      </c>
    </row>
    <row r="78" spans="1:20" x14ac:dyDescent="0.2">
      <c r="A78" s="31" t="s">
        <v>33</v>
      </c>
      <c r="B78" s="32"/>
      <c r="C78" s="33">
        <v>46688.468000000001</v>
      </c>
      <c r="D78" s="33"/>
      <c r="E78" s="31">
        <f t="shared" si="11"/>
        <v>6981.0309345671458</v>
      </c>
      <c r="F78" s="31">
        <f t="shared" si="15"/>
        <v>6981</v>
      </c>
      <c r="G78" s="33">
        <f t="shared" si="12"/>
        <v>2.415974999894388E-2</v>
      </c>
      <c r="H78" s="31"/>
      <c r="I78" s="31">
        <f t="shared" si="14"/>
        <v>2.415974999894388E-2</v>
      </c>
      <c r="J78" s="31"/>
      <c r="K78" s="31"/>
      <c r="L78" s="31"/>
      <c r="M78" s="31"/>
      <c r="O78" s="31"/>
      <c r="P78" s="31">
        <f t="shared" si="6"/>
        <v>1.5857532348745249E-3</v>
      </c>
      <c r="Q78" s="34">
        <f t="shared" si="13"/>
        <v>31669.968000000001</v>
      </c>
      <c r="R78" s="31">
        <f t="shared" si="7"/>
        <v>5.0958532990421376E-4</v>
      </c>
      <c r="S78" s="17">
        <v>0.1</v>
      </c>
      <c r="T78">
        <f t="shared" si="8"/>
        <v>5.0958532990421379E-5</v>
      </c>
    </row>
    <row r="79" spans="1:20" x14ac:dyDescent="0.2">
      <c r="A79" s="35" t="s">
        <v>183</v>
      </c>
      <c r="B79" s="17" t="s">
        <v>54</v>
      </c>
      <c r="C79" s="46">
        <v>39756.330600000001</v>
      </c>
      <c r="D79" s="46" t="s">
        <v>70</v>
      </c>
      <c r="E79" s="31">
        <f t="shared" si="11"/>
        <v>-1894.9992333500079</v>
      </c>
      <c r="F79" s="31">
        <f t="shared" si="15"/>
        <v>-1895</v>
      </c>
      <c r="G79" s="33">
        <f t="shared" si="12"/>
        <v>5.9875000442843884E-4</v>
      </c>
      <c r="H79" s="31"/>
      <c r="I79" s="31"/>
      <c r="J79" s="31">
        <f t="shared" ref="J79:J86" si="16">+G79</f>
        <v>5.9875000442843884E-4</v>
      </c>
      <c r="L79" s="31"/>
      <c r="M79" s="31"/>
      <c r="N79" s="31"/>
      <c r="O79" s="31"/>
      <c r="P79" s="31">
        <f t="shared" si="6"/>
        <v>-6.2826371708258619E-3</v>
      </c>
      <c r="Q79" s="34">
        <f t="shared" si="13"/>
        <v>24737.830600000001</v>
      </c>
      <c r="R79" s="31">
        <f t="shared" si="7"/>
        <v>4.7353489455754368E-5</v>
      </c>
      <c r="S79" s="17">
        <v>1</v>
      </c>
      <c r="T79">
        <f t="shared" si="8"/>
        <v>4.7353489455754368E-5</v>
      </c>
    </row>
    <row r="80" spans="1:20" x14ac:dyDescent="0.2">
      <c r="A80" s="35" t="s">
        <v>188</v>
      </c>
      <c r="B80" s="17" t="s">
        <v>54</v>
      </c>
      <c r="C80" s="46">
        <v>39768.824200000003</v>
      </c>
      <c r="D80" s="46" t="s">
        <v>70</v>
      </c>
      <c r="E80" s="31">
        <f t="shared" si="11"/>
        <v>-1879.0022090403188</v>
      </c>
      <c r="F80" s="31">
        <f t="shared" si="15"/>
        <v>-1879</v>
      </c>
      <c r="G80" s="33">
        <f t="shared" si="12"/>
        <v>-1.7252499965252355E-3</v>
      </c>
      <c r="H80" s="31"/>
      <c r="I80" s="31"/>
      <c r="J80" s="31">
        <f t="shared" si="16"/>
        <v>-1.7252499965252355E-3</v>
      </c>
      <c r="L80" s="31"/>
      <c r="M80" s="31"/>
      <c r="N80" s="31"/>
      <c r="O80" s="31"/>
      <c r="P80" s="31">
        <f t="shared" si="6"/>
        <v>-6.2260361095810048E-3</v>
      </c>
      <c r="Q80" s="34">
        <f t="shared" si="13"/>
        <v>24750.324200000003</v>
      </c>
      <c r="R80" s="31">
        <f t="shared" si="7"/>
        <v>2.0257075635475658E-5</v>
      </c>
      <c r="S80" s="17">
        <v>1</v>
      </c>
      <c r="T80">
        <f t="shared" si="8"/>
        <v>2.0257075635475658E-5</v>
      </c>
    </row>
    <row r="81" spans="1:21" x14ac:dyDescent="0.2">
      <c r="A81" s="35" t="s">
        <v>188</v>
      </c>
      <c r="B81" s="17" t="s">
        <v>54</v>
      </c>
      <c r="C81" s="46">
        <v>39769.609100000001</v>
      </c>
      <c r="D81" s="46" t="s">
        <v>70</v>
      </c>
      <c r="E81" s="31">
        <f t="shared" si="11"/>
        <v>-1877.997209330015</v>
      </c>
      <c r="F81" s="31">
        <f t="shared" si="15"/>
        <v>-1878</v>
      </c>
      <c r="G81" s="33">
        <f t="shared" si="12"/>
        <v>2.1794999993289821E-3</v>
      </c>
      <c r="H81" s="31"/>
      <c r="I81" s="31"/>
      <c r="J81" s="31">
        <f t="shared" si="16"/>
        <v>2.1794999993289821E-3</v>
      </c>
      <c r="L81" s="31"/>
      <c r="M81" s="31"/>
      <c r="N81" s="31"/>
      <c r="O81" s="31"/>
      <c r="P81" s="31">
        <f t="shared" si="6"/>
        <v>-6.2225036299890027E-3</v>
      </c>
      <c r="Q81" s="34">
        <f t="shared" si="13"/>
        <v>24751.109100000001</v>
      </c>
      <c r="R81" s="31">
        <f t="shared" si="7"/>
        <v>7.0593664987072589E-5</v>
      </c>
      <c r="S81" s="17">
        <v>1</v>
      </c>
      <c r="T81">
        <f t="shared" si="8"/>
        <v>7.0593664987072589E-5</v>
      </c>
    </row>
    <row r="82" spans="1:21" x14ac:dyDescent="0.2">
      <c r="A82" s="35" t="s">
        <v>188</v>
      </c>
      <c r="B82" s="17" t="s">
        <v>54</v>
      </c>
      <c r="C82" s="46">
        <v>39775.849199999997</v>
      </c>
      <c r="D82" s="46" t="s">
        <v>70</v>
      </c>
      <c r="E82" s="31">
        <f t="shared" si="11"/>
        <v>-1870.0072759725515</v>
      </c>
      <c r="F82" s="31">
        <f t="shared" si="15"/>
        <v>-1870</v>
      </c>
      <c r="G82" s="33">
        <f t="shared" si="12"/>
        <v>-5.6824999992386438E-3</v>
      </c>
      <c r="H82" s="31"/>
      <c r="I82" s="31"/>
      <c r="J82" s="31">
        <f t="shared" si="16"/>
        <v>-5.6824999992386438E-3</v>
      </c>
      <c r="L82" s="31"/>
      <c r="M82" s="31"/>
      <c r="N82" s="31"/>
      <c r="O82" s="31"/>
      <c r="P82" s="31">
        <f t="shared" si="6"/>
        <v>-6.1942653370752106E-3</v>
      </c>
      <c r="Q82" s="34">
        <f t="shared" si="13"/>
        <v>24757.349199999997</v>
      </c>
      <c r="R82" s="31">
        <f t="shared" si="7"/>
        <v>2.619037610109754E-7</v>
      </c>
      <c r="S82" s="17">
        <v>1</v>
      </c>
      <c r="T82">
        <f t="shared" si="8"/>
        <v>2.619037610109754E-7</v>
      </c>
    </row>
    <row r="83" spans="1:21" x14ac:dyDescent="0.2">
      <c r="A83" s="35" t="s">
        <v>188</v>
      </c>
      <c r="B83" s="17" t="s">
        <v>54</v>
      </c>
      <c r="C83" s="46">
        <v>39787.572899999999</v>
      </c>
      <c r="D83" s="46" t="s">
        <v>70</v>
      </c>
      <c r="E83" s="31">
        <f t="shared" si="11"/>
        <v>-1854.9960451103891</v>
      </c>
      <c r="F83" s="31">
        <f t="shared" si="15"/>
        <v>-1855</v>
      </c>
      <c r="G83" s="33">
        <f t="shared" si="12"/>
        <v>3.0887500033713877E-3</v>
      </c>
      <c r="H83" s="31"/>
      <c r="I83" s="31"/>
      <c r="J83" s="31">
        <f t="shared" si="16"/>
        <v>3.0887500033713877E-3</v>
      </c>
      <c r="L83" s="31"/>
      <c r="M83" s="31"/>
      <c r="N83" s="31"/>
      <c r="O83" s="31"/>
      <c r="P83" s="31">
        <f t="shared" si="6"/>
        <v>-6.1414217686766599E-3</v>
      </c>
      <c r="Q83" s="34">
        <f t="shared" si="13"/>
        <v>24769.072899999999</v>
      </c>
      <c r="R83" s="31">
        <f t="shared" si="7"/>
        <v>8.5196070941512595E-5</v>
      </c>
      <c r="S83" s="17">
        <v>1</v>
      </c>
      <c r="T83">
        <f t="shared" si="8"/>
        <v>8.5196070941512595E-5</v>
      </c>
    </row>
    <row r="84" spans="1:21" x14ac:dyDescent="0.2">
      <c r="A84" s="35" t="s">
        <v>183</v>
      </c>
      <c r="B84" s="17" t="s">
        <v>54</v>
      </c>
      <c r="C84" s="46">
        <v>40854.408000000003</v>
      </c>
      <c r="D84" s="46" t="s">
        <v>70</v>
      </c>
      <c r="E84" s="31">
        <f t="shared" si="11"/>
        <v>-489.00169367226727</v>
      </c>
      <c r="F84" s="31">
        <f t="shared" si="15"/>
        <v>-489</v>
      </c>
      <c r="G84" s="33">
        <f t="shared" si="12"/>
        <v>-1.3227499948698096E-3</v>
      </c>
      <c r="H84" s="31"/>
      <c r="I84" s="31"/>
      <c r="J84" s="31">
        <f t="shared" si="16"/>
        <v>-1.3227499948698096E-3</v>
      </c>
      <c r="L84" s="31"/>
      <c r="M84" s="31"/>
      <c r="N84" s="31"/>
      <c r="O84" s="31"/>
      <c r="P84" s="31">
        <f t="shared" si="6"/>
        <v>-1.8935960461387668E-3</v>
      </c>
      <c r="Q84" s="34">
        <f t="shared" si="13"/>
        <v>25835.908000000003</v>
      </c>
      <c r="R84" s="31">
        <f t="shared" si="7"/>
        <v>3.2586521424936099E-7</v>
      </c>
      <c r="S84" s="17">
        <v>1</v>
      </c>
      <c r="T84">
        <f t="shared" si="8"/>
        <v>3.2586521424936099E-7</v>
      </c>
    </row>
    <row r="85" spans="1:21" x14ac:dyDescent="0.2">
      <c r="A85" s="43" t="s">
        <v>28</v>
      </c>
      <c r="B85" s="44" t="s">
        <v>54</v>
      </c>
      <c r="C85" s="43">
        <v>43801.910400000001</v>
      </c>
      <c r="D85" s="43" t="s">
        <v>60</v>
      </c>
      <c r="E85" s="31">
        <f t="shared" ref="E85:E116" si="17">+(C85-C$7)/C$8</f>
        <v>3285.0320152395316</v>
      </c>
      <c r="F85" s="31">
        <f t="shared" si="15"/>
        <v>3285</v>
      </c>
      <c r="G85" s="33">
        <f>+C85-(C$7+F85*C$8)</f>
        <v>2.5003750000905711E-2</v>
      </c>
      <c r="H85" s="31"/>
      <c r="I85" s="31"/>
      <c r="J85" s="31">
        <f t="shared" si="16"/>
        <v>2.5003750000905711E-2</v>
      </c>
      <c r="L85" s="31"/>
      <c r="M85" s="31"/>
      <c r="N85" s="31"/>
      <c r="O85" s="31"/>
      <c r="P85" s="31">
        <f t="shared" si="6"/>
        <v>4.0379716381933883E-3</v>
      </c>
      <c r="Q85" s="34">
        <f t="shared" ref="Q85:Q116" si="18">+C85-15018.5</f>
        <v>28783.410400000001</v>
      </c>
      <c r="R85" s="31">
        <f t="shared" si="7"/>
        <v>4.3956386235437619E-4</v>
      </c>
      <c r="S85" s="17">
        <v>1</v>
      </c>
      <c r="T85">
        <f t="shared" si="8"/>
        <v>4.3956386235437619E-4</v>
      </c>
    </row>
    <row r="86" spans="1:21" x14ac:dyDescent="0.2">
      <c r="A86" s="31" t="s">
        <v>28</v>
      </c>
      <c r="B86" s="32"/>
      <c r="C86" s="33">
        <v>43835.887699999999</v>
      </c>
      <c r="D86" s="33"/>
      <c r="E86" s="31">
        <f t="shared" si="17"/>
        <v>3328.5371453923699</v>
      </c>
      <c r="F86" s="31">
        <f t="shared" si="15"/>
        <v>3328.5</v>
      </c>
      <c r="G86" s="33">
        <f>+C86-(C$7+F86*C$8)</f>
        <v>2.9010375001234934E-2</v>
      </c>
      <c r="H86" s="31"/>
      <c r="I86" s="31"/>
      <c r="J86" s="31">
        <f t="shared" si="16"/>
        <v>2.9010375001234934E-2</v>
      </c>
      <c r="L86" s="31"/>
      <c r="M86" s="31"/>
      <c r="N86" s="31"/>
      <c r="O86" s="31"/>
      <c r="P86" s="31">
        <f t="shared" ref="P86:P116" si="19">+D$11+D$12*F86+D$13*F86^2</f>
        <v>4.0566514579070349E-3</v>
      </c>
      <c r="Q86" s="34">
        <f t="shared" si="18"/>
        <v>28817.387699999999</v>
      </c>
      <c r="R86" s="31">
        <f t="shared" ref="R86:R116" si="20">+(P86-G86)^2</f>
        <v>6.2268831867683713E-4</v>
      </c>
      <c r="S86" s="17">
        <v>1</v>
      </c>
      <c r="T86">
        <f t="shared" ref="T86:T116" si="21">+S86*R86</f>
        <v>6.2268831867683713E-4</v>
      </c>
    </row>
    <row r="87" spans="1:21" x14ac:dyDescent="0.2">
      <c r="A87" s="10" t="s">
        <v>29</v>
      </c>
      <c r="B87" s="9"/>
      <c r="C87" s="12">
        <v>44845.389799999997</v>
      </c>
      <c r="D87" s="12">
        <v>4.0000000000000002E-4</v>
      </c>
      <c r="E87" s="31">
        <f t="shared" si="17"/>
        <v>4621.1213192397754</v>
      </c>
      <c r="F87" s="31">
        <f t="shared" si="15"/>
        <v>4621</v>
      </c>
      <c r="G87" s="33"/>
      <c r="H87" s="31"/>
      <c r="I87" s="31"/>
      <c r="L87" s="31"/>
      <c r="M87" s="31"/>
      <c r="N87" s="31"/>
      <c r="O87" s="31"/>
      <c r="P87" s="31">
        <f t="shared" si="19"/>
        <v>4.094991599833531E-3</v>
      </c>
      <c r="Q87" s="34">
        <f t="shared" si="18"/>
        <v>29826.889799999997</v>
      </c>
      <c r="R87" s="31">
        <f t="shared" si="20"/>
        <v>1.6768956202707183E-5</v>
      </c>
      <c r="S87" s="17"/>
      <c r="T87">
        <f t="shared" si="21"/>
        <v>0</v>
      </c>
      <c r="U87" s="35">
        <v>9.4749749994662125E-2</v>
      </c>
    </row>
    <row r="88" spans="1:21" x14ac:dyDescent="0.2">
      <c r="A88" s="31" t="s">
        <v>34</v>
      </c>
      <c r="B88" s="32"/>
      <c r="C88" s="33">
        <v>47030.512699999999</v>
      </c>
      <c r="D88" s="33"/>
      <c r="E88" s="31">
        <f t="shared" si="17"/>
        <v>7418.9909605724233</v>
      </c>
      <c r="F88" s="31">
        <f t="shared" si="15"/>
        <v>7419</v>
      </c>
      <c r="G88" s="33">
        <f t="shared" ref="G88:G116" si="22">+C88-(C$7+F88*C$8)</f>
        <v>-7.0597500016447157E-3</v>
      </c>
      <c r="H88" s="31"/>
      <c r="J88" s="31">
        <f t="shared" ref="J88:J102" si="23">+G88</f>
        <v>-7.0597500016447157E-3</v>
      </c>
      <c r="K88" s="31"/>
      <c r="L88" s="31"/>
      <c r="M88" s="31"/>
      <c r="N88" s="31"/>
      <c r="O88" s="31"/>
      <c r="P88" s="31">
        <f t="shared" si="19"/>
        <v>7.5335461746860524E-4</v>
      </c>
      <c r="Q88" s="34">
        <f t="shared" si="18"/>
        <v>32012.012699999999</v>
      </c>
      <c r="R88" s="31">
        <f t="shared" si="20"/>
        <v>6.1044603789209908E-5</v>
      </c>
      <c r="S88" s="17">
        <v>1</v>
      </c>
      <c r="T88">
        <f t="shared" si="21"/>
        <v>6.1044603789209908E-5</v>
      </c>
    </row>
    <row r="89" spans="1:21" x14ac:dyDescent="0.2">
      <c r="A89" s="31" t="s">
        <v>35</v>
      </c>
      <c r="B89" s="31"/>
      <c r="C89" s="33">
        <v>47819.311900000001</v>
      </c>
      <c r="D89" s="33"/>
      <c r="E89" s="31">
        <f t="shared" si="17"/>
        <v>8428.9832748662702</v>
      </c>
      <c r="F89" s="31">
        <f t="shared" si="15"/>
        <v>8429</v>
      </c>
      <c r="G89" s="33">
        <f t="shared" si="22"/>
        <v>-1.3062250000075437E-2</v>
      </c>
      <c r="H89" s="31"/>
      <c r="I89" s="31"/>
      <c r="J89" s="31">
        <f t="shared" si="23"/>
        <v>-1.3062250000075437E-2</v>
      </c>
      <c r="L89" s="31"/>
      <c r="M89" s="31"/>
      <c r="N89" s="31"/>
      <c r="O89" s="31"/>
      <c r="P89" s="31">
        <f t="shared" si="19"/>
        <v>-1.6037062860347305E-3</v>
      </c>
      <c r="Q89" s="34">
        <f t="shared" si="18"/>
        <v>32800.811900000001</v>
      </c>
      <c r="R89" s="31">
        <f t="shared" si="20"/>
        <v>1.3129822404658179E-4</v>
      </c>
      <c r="S89" s="17">
        <v>1</v>
      </c>
      <c r="T89">
        <f t="shared" si="21"/>
        <v>1.3129822404658179E-4</v>
      </c>
    </row>
    <row r="90" spans="1:21" x14ac:dyDescent="0.2">
      <c r="A90" s="35" t="s">
        <v>265</v>
      </c>
      <c r="B90" s="17" t="s">
        <v>54</v>
      </c>
      <c r="C90" s="46">
        <v>47819.312599999997</v>
      </c>
      <c r="D90" s="46" t="s">
        <v>70</v>
      </c>
      <c r="E90" s="31">
        <f t="shared" si="17"/>
        <v>8428.9841711585286</v>
      </c>
      <c r="F90" s="31">
        <f t="shared" si="15"/>
        <v>8429</v>
      </c>
      <c r="G90" s="33">
        <f t="shared" si="22"/>
        <v>-1.2362250003207009E-2</v>
      </c>
      <c r="H90" s="31"/>
      <c r="I90" s="31"/>
      <c r="J90" s="31">
        <f t="shared" si="23"/>
        <v>-1.2362250003207009E-2</v>
      </c>
      <c r="L90" s="31"/>
      <c r="M90" s="31"/>
      <c r="N90" s="31"/>
      <c r="O90" s="31"/>
      <c r="P90" s="31">
        <f t="shared" si="19"/>
        <v>-1.6037062860347305E-3</v>
      </c>
      <c r="Q90" s="34">
        <f t="shared" si="18"/>
        <v>32800.812599999997</v>
      </c>
      <c r="R90" s="31">
        <f t="shared" si="20"/>
        <v>1.1574626291430712E-4</v>
      </c>
      <c r="S90" s="17">
        <v>1</v>
      </c>
      <c r="T90">
        <f t="shared" si="21"/>
        <v>1.1574626291430712E-4</v>
      </c>
    </row>
    <row r="91" spans="1:21" x14ac:dyDescent="0.2">
      <c r="A91" s="31" t="s">
        <v>35</v>
      </c>
      <c r="B91" s="31"/>
      <c r="C91" s="33">
        <v>47819.313300000002</v>
      </c>
      <c r="D91" s="33"/>
      <c r="E91" s="31">
        <f t="shared" si="17"/>
        <v>8428.9850674507979</v>
      </c>
      <c r="F91" s="31">
        <f t="shared" si="15"/>
        <v>8429</v>
      </c>
      <c r="G91" s="33">
        <f t="shared" si="22"/>
        <v>-1.1662249999062624E-2</v>
      </c>
      <c r="H91" s="31"/>
      <c r="I91" s="31"/>
      <c r="J91" s="31">
        <f t="shared" si="23"/>
        <v>-1.1662249999062624E-2</v>
      </c>
      <c r="L91" s="31"/>
      <c r="M91" s="31"/>
      <c r="N91" s="31"/>
      <c r="O91" s="31"/>
      <c r="P91" s="31">
        <f t="shared" si="19"/>
        <v>-1.6037062860347305E-3</v>
      </c>
      <c r="Q91" s="34">
        <f t="shared" si="18"/>
        <v>32800.813300000002</v>
      </c>
      <c r="R91" s="31">
        <f t="shared" si="20"/>
        <v>1.0117430162689295E-4</v>
      </c>
      <c r="S91" s="17">
        <v>1</v>
      </c>
      <c r="T91">
        <f t="shared" si="21"/>
        <v>1.0117430162689295E-4</v>
      </c>
    </row>
    <row r="92" spans="1:21" x14ac:dyDescent="0.2">
      <c r="A92" s="31" t="s">
        <v>37</v>
      </c>
      <c r="B92" s="31"/>
      <c r="C92" s="33">
        <v>47862.270299999996</v>
      </c>
      <c r="D92" s="33"/>
      <c r="E92" s="31">
        <f t="shared" si="17"/>
        <v>8483.9879627949049</v>
      </c>
      <c r="F92" s="31">
        <f t="shared" si="15"/>
        <v>8484</v>
      </c>
      <c r="G92" s="33">
        <f t="shared" si="22"/>
        <v>-9.4010000029811636E-3</v>
      </c>
      <c r="H92" s="31"/>
      <c r="J92" s="31">
        <f t="shared" si="23"/>
        <v>-9.4010000029811636E-3</v>
      </c>
      <c r="K92" s="31"/>
      <c r="L92" s="31"/>
      <c r="M92" s="31"/>
      <c r="N92" s="31"/>
      <c r="O92" s="31"/>
      <c r="P92" s="31">
        <f t="shared" si="19"/>
        <v>-1.7495878847464293E-3</v>
      </c>
      <c r="Q92" s="34">
        <f t="shared" si="18"/>
        <v>32843.770299999996</v>
      </c>
      <c r="R92" s="31">
        <f t="shared" si="20"/>
        <v>5.8544107403069342E-5</v>
      </c>
      <c r="S92" s="17">
        <v>1</v>
      </c>
      <c r="T92">
        <f t="shared" si="21"/>
        <v>5.8544107403069342E-5</v>
      </c>
    </row>
    <row r="93" spans="1:21" x14ac:dyDescent="0.2">
      <c r="A93" s="31" t="s">
        <v>37</v>
      </c>
      <c r="B93" s="31"/>
      <c r="C93" s="33">
        <v>47862.270299999996</v>
      </c>
      <c r="D93" s="33"/>
      <c r="E93" s="31">
        <f t="shared" si="17"/>
        <v>8483.9879627949049</v>
      </c>
      <c r="F93" s="31">
        <f t="shared" si="15"/>
        <v>8484</v>
      </c>
      <c r="G93" s="33">
        <f t="shared" si="22"/>
        <v>-9.4010000029811636E-3</v>
      </c>
      <c r="H93" s="31"/>
      <c r="J93" s="31">
        <f t="shared" si="23"/>
        <v>-9.4010000029811636E-3</v>
      </c>
      <c r="K93" s="31"/>
      <c r="L93" s="31"/>
      <c r="M93" s="31"/>
      <c r="N93" s="31"/>
      <c r="O93" s="31"/>
      <c r="P93" s="31">
        <f t="shared" si="19"/>
        <v>-1.7495878847464293E-3</v>
      </c>
      <c r="Q93" s="34">
        <f t="shared" si="18"/>
        <v>32843.770299999996</v>
      </c>
      <c r="R93" s="31">
        <f t="shared" si="20"/>
        <v>5.8544107403069342E-5</v>
      </c>
      <c r="S93" s="17">
        <v>1</v>
      </c>
      <c r="T93">
        <f t="shared" si="21"/>
        <v>5.8544107403069342E-5</v>
      </c>
    </row>
    <row r="94" spans="1:21" x14ac:dyDescent="0.2">
      <c r="A94" s="31" t="s">
        <v>38</v>
      </c>
      <c r="B94" s="31"/>
      <c r="C94" s="33">
        <v>48525.330999999998</v>
      </c>
      <c r="D94" s="33"/>
      <c r="E94" s="31">
        <f t="shared" si="17"/>
        <v>9332.9824989332519</v>
      </c>
      <c r="F94" s="31">
        <f t="shared" si="15"/>
        <v>9333</v>
      </c>
      <c r="G94" s="33">
        <f t="shared" si="22"/>
        <v>-1.3668250001501292E-2</v>
      </c>
      <c r="H94" s="31"/>
      <c r="J94" s="31">
        <f t="shared" si="23"/>
        <v>-1.3668250001501292E-2</v>
      </c>
      <c r="K94" s="31"/>
      <c r="L94" s="31"/>
      <c r="M94" s="31"/>
      <c r="N94" s="31"/>
      <c r="O94" s="31">
        <f t="shared" ref="O94:O116" ca="1" si="24">+C$11+C$12*F94</f>
        <v>2.7066585835669593E-3</v>
      </c>
      <c r="P94" s="31">
        <f t="shared" si="19"/>
        <v>-4.2311192539125422E-3</v>
      </c>
      <c r="Q94" s="34">
        <f t="shared" si="18"/>
        <v>33506.830999999998</v>
      </c>
      <c r="R94" s="31">
        <f t="shared" si="20"/>
        <v>8.9059436747084992E-5</v>
      </c>
      <c r="S94" s="17">
        <v>1</v>
      </c>
      <c r="T94">
        <f t="shared" si="21"/>
        <v>8.9059436747084992E-5</v>
      </c>
    </row>
    <row r="95" spans="1:21" x14ac:dyDescent="0.2">
      <c r="A95" s="31" t="s">
        <v>38</v>
      </c>
      <c r="B95" s="31"/>
      <c r="C95" s="33">
        <v>48525.332900000001</v>
      </c>
      <c r="D95" s="33"/>
      <c r="E95" s="31">
        <f t="shared" si="17"/>
        <v>9332.9849317265398</v>
      </c>
      <c r="F95" s="31">
        <f t="shared" si="15"/>
        <v>9333</v>
      </c>
      <c r="G95" s="33">
        <f t="shared" si="22"/>
        <v>-1.1768249998567626E-2</v>
      </c>
      <c r="H95" s="31"/>
      <c r="J95" s="31">
        <f t="shared" si="23"/>
        <v>-1.1768249998567626E-2</v>
      </c>
      <c r="K95" s="31"/>
      <c r="L95" s="31"/>
      <c r="M95" s="31"/>
      <c r="N95" s="31"/>
      <c r="O95" s="31">
        <f t="shared" ca="1" si="24"/>
        <v>2.7066585835669593E-3</v>
      </c>
      <c r="P95" s="31">
        <f t="shared" si="19"/>
        <v>-4.2311192539125422E-3</v>
      </c>
      <c r="Q95" s="34">
        <f t="shared" si="18"/>
        <v>33506.832900000001</v>
      </c>
      <c r="R95" s="31">
        <f t="shared" si="20"/>
        <v>5.6808339862024898E-5</v>
      </c>
      <c r="S95" s="17">
        <v>1</v>
      </c>
      <c r="T95">
        <f t="shared" si="21"/>
        <v>5.6808339862024898E-5</v>
      </c>
    </row>
    <row r="96" spans="1:21" x14ac:dyDescent="0.2">
      <c r="A96" s="31" t="s">
        <v>42</v>
      </c>
      <c r="B96" s="31"/>
      <c r="C96" s="33">
        <v>50394.243499999997</v>
      </c>
      <c r="D96" s="33"/>
      <c r="E96" s="31">
        <f t="shared" si="17"/>
        <v>11725.970804559947</v>
      </c>
      <c r="F96" s="31">
        <f t="shared" si="15"/>
        <v>11726</v>
      </c>
      <c r="G96" s="33">
        <f t="shared" si="22"/>
        <v>-2.2801500002969988E-2</v>
      </c>
      <c r="H96" s="31"/>
      <c r="I96" s="31"/>
      <c r="J96" s="31">
        <f t="shared" si="23"/>
        <v>-2.2801500002969988E-2</v>
      </c>
      <c r="L96" s="31"/>
      <c r="M96" s="31"/>
      <c r="N96" s="31"/>
      <c r="O96" s="31">
        <f t="shared" ca="1" si="24"/>
        <v>-1.1739947133080915E-2</v>
      </c>
      <c r="P96" s="31">
        <f t="shared" si="19"/>
        <v>-1.3546967269446427E-2</v>
      </c>
      <c r="Q96" s="34">
        <f t="shared" si="18"/>
        <v>35375.743499999997</v>
      </c>
      <c r="R96" s="31">
        <f t="shared" si="20"/>
        <v>8.5646376115859065E-5</v>
      </c>
      <c r="S96" s="17">
        <v>1</v>
      </c>
      <c r="T96">
        <f t="shared" si="21"/>
        <v>8.5646376115859065E-5</v>
      </c>
    </row>
    <row r="97" spans="1:20" x14ac:dyDescent="0.2">
      <c r="A97" s="31" t="s">
        <v>39</v>
      </c>
      <c r="B97" s="31"/>
      <c r="C97" s="33">
        <v>50394.243799999997</v>
      </c>
      <c r="D97" s="33"/>
      <c r="E97" s="31">
        <f t="shared" si="17"/>
        <v>11725.971188685204</v>
      </c>
      <c r="F97" s="31">
        <f t="shared" si="15"/>
        <v>11726</v>
      </c>
      <c r="G97" s="33">
        <f t="shared" si="22"/>
        <v>-2.2501500003272668E-2</v>
      </c>
      <c r="H97" s="31"/>
      <c r="J97" s="31">
        <f t="shared" si="23"/>
        <v>-2.2501500003272668E-2</v>
      </c>
      <c r="K97" s="31"/>
      <c r="L97" s="31"/>
      <c r="M97" s="31"/>
      <c r="N97" s="31"/>
      <c r="O97" s="31">
        <f t="shared" ca="1" si="24"/>
        <v>-1.1739947133080915E-2</v>
      </c>
      <c r="P97" s="31">
        <f t="shared" si="19"/>
        <v>-1.3546967269446427E-2</v>
      </c>
      <c r="Q97" s="34">
        <f t="shared" si="18"/>
        <v>35375.743799999997</v>
      </c>
      <c r="R97" s="31">
        <f t="shared" si="20"/>
        <v>8.018365648116564E-5</v>
      </c>
      <c r="S97" s="17">
        <v>1</v>
      </c>
      <c r="T97">
        <f t="shared" si="21"/>
        <v>8.018365648116564E-5</v>
      </c>
    </row>
    <row r="98" spans="1:20" x14ac:dyDescent="0.2">
      <c r="A98" s="38" t="s">
        <v>40</v>
      </c>
      <c r="B98" s="38"/>
      <c r="C98" s="8">
        <v>50754.278299999998</v>
      </c>
      <c r="D98" s="33"/>
      <c r="E98" s="31">
        <f t="shared" si="17"/>
        <v>12186.965669765596</v>
      </c>
      <c r="F98" s="31">
        <f t="shared" si="15"/>
        <v>12187</v>
      </c>
      <c r="G98" s="33">
        <f t="shared" si="22"/>
        <v>-2.6811750001797918E-2</v>
      </c>
      <c r="H98" s="31"/>
      <c r="J98" s="31">
        <f t="shared" si="23"/>
        <v>-2.6811750001797918E-2</v>
      </c>
      <c r="K98" s="31"/>
      <c r="L98" s="31"/>
      <c r="M98" s="31"/>
      <c r="N98" s="31"/>
      <c r="O98" s="31">
        <f t="shared" ca="1" si="24"/>
        <v>-1.4523016600433473E-2</v>
      </c>
      <c r="P98" s="31">
        <f t="shared" si="19"/>
        <v>-1.5735302449061135E-2</v>
      </c>
      <c r="Q98" s="34">
        <f t="shared" si="18"/>
        <v>35735.778299999998</v>
      </c>
      <c r="R98" s="31">
        <f t="shared" si="20"/>
        <v>1.2268769038852867E-4</v>
      </c>
      <c r="S98" s="17">
        <v>1</v>
      </c>
      <c r="T98">
        <f t="shared" si="21"/>
        <v>1.2268769038852867E-4</v>
      </c>
    </row>
    <row r="99" spans="1:20" x14ac:dyDescent="0.2">
      <c r="A99" s="38" t="s">
        <v>41</v>
      </c>
      <c r="B99" s="38"/>
      <c r="C99" s="39">
        <v>50754.278299999998</v>
      </c>
      <c r="D99" s="36">
        <v>4.0000000000000002E-4</v>
      </c>
      <c r="E99" s="31">
        <f t="shared" si="17"/>
        <v>12186.965669765596</v>
      </c>
      <c r="F99" s="31">
        <f t="shared" si="15"/>
        <v>12187</v>
      </c>
      <c r="G99" s="33">
        <f t="shared" si="22"/>
        <v>-2.6811750001797918E-2</v>
      </c>
      <c r="H99" s="31"/>
      <c r="I99" s="31"/>
      <c r="J99" s="31">
        <f t="shared" si="23"/>
        <v>-2.6811750001797918E-2</v>
      </c>
      <c r="L99" s="31"/>
      <c r="M99" s="31"/>
      <c r="N99" s="31"/>
      <c r="O99" s="31">
        <f t="shared" ca="1" si="24"/>
        <v>-1.4523016600433473E-2</v>
      </c>
      <c r="P99" s="31">
        <f t="shared" si="19"/>
        <v>-1.5735302449061135E-2</v>
      </c>
      <c r="Q99" s="34">
        <f t="shared" si="18"/>
        <v>35735.778299999998</v>
      </c>
      <c r="R99" s="31">
        <f t="shared" si="20"/>
        <v>1.2268769038852867E-4</v>
      </c>
      <c r="S99" s="17">
        <v>1</v>
      </c>
      <c r="T99">
        <f t="shared" si="21"/>
        <v>1.2268769038852867E-4</v>
      </c>
    </row>
    <row r="100" spans="1:20" x14ac:dyDescent="0.2">
      <c r="A100" s="35" t="s">
        <v>301</v>
      </c>
      <c r="B100" s="17" t="s">
        <v>44</v>
      </c>
      <c r="C100" s="46">
        <v>51755.124400000001</v>
      </c>
      <c r="D100" s="46" t="s">
        <v>60</v>
      </c>
      <c r="E100" s="31">
        <f t="shared" si="17"/>
        <v>13468.466549572486</v>
      </c>
      <c r="F100" s="31">
        <f t="shared" si="15"/>
        <v>13468.5</v>
      </c>
      <c r="G100" s="33">
        <f t="shared" si="22"/>
        <v>-2.6124625001102686E-2</v>
      </c>
      <c r="H100" s="31"/>
      <c r="I100" s="31"/>
      <c r="J100" s="31">
        <f t="shared" si="23"/>
        <v>-2.6124625001102686E-2</v>
      </c>
      <c r="L100" s="31"/>
      <c r="M100" s="31"/>
      <c r="N100" s="31"/>
      <c r="O100" s="31">
        <f t="shared" ca="1" si="24"/>
        <v>-2.2259466757510067E-2</v>
      </c>
      <c r="P100" s="31">
        <f t="shared" si="19"/>
        <v>-2.2486656316777417E-2</v>
      </c>
      <c r="Q100" s="34">
        <f t="shared" si="18"/>
        <v>36736.624400000001</v>
      </c>
      <c r="R100" s="31">
        <f t="shared" si="20"/>
        <v>1.3234816148131325E-5</v>
      </c>
      <c r="S100" s="17">
        <v>1</v>
      </c>
      <c r="T100">
        <f t="shared" si="21"/>
        <v>1.3234816148131325E-5</v>
      </c>
    </row>
    <row r="101" spans="1:20" x14ac:dyDescent="0.2">
      <c r="A101" s="35" t="s">
        <v>301</v>
      </c>
      <c r="B101" s="17" t="s">
        <v>54</v>
      </c>
      <c r="C101" s="46">
        <v>51757.073400000001</v>
      </c>
      <c r="D101" s="46" t="s">
        <v>60</v>
      </c>
      <c r="E101" s="31">
        <f t="shared" si="17"/>
        <v>13470.96208331613</v>
      </c>
      <c r="F101" s="31">
        <f t="shared" si="15"/>
        <v>13471</v>
      </c>
      <c r="G101" s="33">
        <f t="shared" si="22"/>
        <v>-2.9612749996886123E-2</v>
      </c>
      <c r="H101" s="31"/>
      <c r="I101" s="31"/>
      <c r="J101" s="31">
        <f t="shared" si="23"/>
        <v>-2.9612749996886123E-2</v>
      </c>
      <c r="L101" s="31"/>
      <c r="M101" s="31"/>
      <c r="N101" s="31"/>
      <c r="O101" s="31">
        <f t="shared" ca="1" si="24"/>
        <v>-2.2274559325120437E-2</v>
      </c>
      <c r="P101" s="31">
        <f t="shared" si="19"/>
        <v>-2.2500787615672299E-2</v>
      </c>
      <c r="Q101" s="34">
        <f t="shared" si="18"/>
        <v>36738.573400000001</v>
      </c>
      <c r="R101" s="31">
        <f t="shared" si="20"/>
        <v>5.0580008911800605E-5</v>
      </c>
      <c r="S101" s="17">
        <v>1</v>
      </c>
      <c r="T101">
        <f t="shared" si="21"/>
        <v>5.0580008911800605E-5</v>
      </c>
    </row>
    <row r="102" spans="1:20" x14ac:dyDescent="0.2">
      <c r="A102" s="8" t="s">
        <v>43</v>
      </c>
      <c r="B102" s="40"/>
      <c r="C102" s="8">
        <v>51780.502699999997</v>
      </c>
      <c r="D102" s="33">
        <v>8.0000000000000004E-4</v>
      </c>
      <c r="E102" s="31">
        <f t="shared" si="17"/>
        <v>13500.961369483359</v>
      </c>
      <c r="F102" s="31">
        <f t="shared" si="15"/>
        <v>13501</v>
      </c>
      <c r="G102" s="33">
        <f t="shared" si="22"/>
        <v>-3.0170250000082888E-2</v>
      </c>
      <c r="H102" s="31"/>
      <c r="I102" s="31"/>
      <c r="J102" s="31">
        <f t="shared" si="23"/>
        <v>-3.0170250000082888E-2</v>
      </c>
      <c r="L102" s="31"/>
      <c r="M102" s="31"/>
      <c r="N102" s="31"/>
      <c r="O102" s="31">
        <f t="shared" ca="1" si="24"/>
        <v>-2.2455670136444901E-2</v>
      </c>
      <c r="P102" s="31">
        <f t="shared" si="19"/>
        <v>-2.267065494167015E-2</v>
      </c>
      <c r="Q102" s="34">
        <f t="shared" si="18"/>
        <v>36762.002699999997</v>
      </c>
      <c r="R102" s="31">
        <f t="shared" si="20"/>
        <v>5.6243926040168752E-5</v>
      </c>
      <c r="S102" s="17">
        <v>1</v>
      </c>
      <c r="T102">
        <f t="shared" si="21"/>
        <v>5.6243926040168752E-5</v>
      </c>
    </row>
    <row r="103" spans="1:20" x14ac:dyDescent="0.2">
      <c r="A103" s="35" t="s">
        <v>314</v>
      </c>
      <c r="B103" s="17" t="s">
        <v>54</v>
      </c>
      <c r="C103" s="46">
        <v>52171.001199999999</v>
      </c>
      <c r="D103" s="46" t="s">
        <v>70</v>
      </c>
      <c r="E103" s="31">
        <f t="shared" si="17"/>
        <v>14000.962489848689</v>
      </c>
      <c r="F103" s="31">
        <f t="shared" si="15"/>
        <v>14001</v>
      </c>
      <c r="G103" s="33">
        <f t="shared" si="22"/>
        <v>-2.9295250002178364E-2</v>
      </c>
      <c r="H103" s="31"/>
      <c r="I103" s="31"/>
      <c r="J103" s="31"/>
      <c r="K103" s="31">
        <f t="shared" ref="K103:K108" si="25">+G103</f>
        <v>-2.9295250002178364E-2</v>
      </c>
      <c r="L103" s="31"/>
      <c r="M103" s="31"/>
      <c r="N103" s="31"/>
      <c r="O103" s="31">
        <f t="shared" ca="1" si="24"/>
        <v>-2.5474183658519257E-2</v>
      </c>
      <c r="P103" s="31">
        <f t="shared" si="19"/>
        <v>-2.5581070276196556E-2</v>
      </c>
      <c r="Q103" s="34">
        <f t="shared" si="18"/>
        <v>37152.501199999999</v>
      </c>
      <c r="R103" s="31">
        <f t="shared" si="20"/>
        <v>1.3795131036894295E-5</v>
      </c>
      <c r="S103" s="17">
        <v>1</v>
      </c>
      <c r="T103">
        <f t="shared" si="21"/>
        <v>1.3795131036894295E-5</v>
      </c>
    </row>
    <row r="104" spans="1:20" x14ac:dyDescent="0.2">
      <c r="A104" s="35" t="s">
        <v>318</v>
      </c>
      <c r="B104" s="17" t="s">
        <v>44</v>
      </c>
      <c r="C104" s="46">
        <v>52582.991099999999</v>
      </c>
      <c r="D104" s="46" t="s">
        <v>70</v>
      </c>
      <c r="E104" s="31">
        <f t="shared" si="17"/>
        <v>14528.481575272064</v>
      </c>
      <c r="F104" s="31">
        <f t="shared" si="15"/>
        <v>14528.5</v>
      </c>
      <c r="G104" s="33">
        <f t="shared" si="22"/>
        <v>-1.4389625001058448E-2</v>
      </c>
      <c r="H104" s="31"/>
      <c r="I104" s="31"/>
      <c r="J104" s="31"/>
      <c r="K104" s="31">
        <f t="shared" si="25"/>
        <v>-1.4389625001058448E-2</v>
      </c>
      <c r="L104" s="31"/>
      <c r="M104" s="31"/>
      <c r="N104" s="31"/>
      <c r="O104" s="31">
        <f t="shared" ca="1" si="24"/>
        <v>-2.8658715424307694E-2</v>
      </c>
      <c r="P104" s="31">
        <f t="shared" si="19"/>
        <v>-2.8813737430406515E-2</v>
      </c>
      <c r="Q104" s="34">
        <f t="shared" si="18"/>
        <v>37564.491099999999</v>
      </c>
      <c r="R104" s="31">
        <f t="shared" si="20"/>
        <v>2.0805501937447339E-4</v>
      </c>
      <c r="S104" s="17">
        <v>1</v>
      </c>
      <c r="T104">
        <f t="shared" si="21"/>
        <v>2.0805501937447339E-4</v>
      </c>
    </row>
    <row r="105" spans="1:20" x14ac:dyDescent="0.2">
      <c r="A105" s="35" t="s">
        <v>329</v>
      </c>
      <c r="B105" s="17" t="s">
        <v>54</v>
      </c>
      <c r="C105" s="46">
        <v>52951.997600000002</v>
      </c>
      <c r="D105" s="46" t="s">
        <v>70</v>
      </c>
      <c r="E105" s="31">
        <f t="shared" si="17"/>
        <v>15000.96396232884</v>
      </c>
      <c r="F105" s="31">
        <f t="shared" si="15"/>
        <v>15001</v>
      </c>
      <c r="G105" s="33">
        <f t="shared" si="22"/>
        <v>-2.8145249998487998E-2</v>
      </c>
      <c r="H105" s="31"/>
      <c r="I105" s="31"/>
      <c r="J105" s="31"/>
      <c r="K105" s="31">
        <f t="shared" si="25"/>
        <v>-2.8145249998487998E-2</v>
      </c>
      <c r="L105" s="31"/>
      <c r="M105" s="31"/>
      <c r="N105" s="31"/>
      <c r="O105" s="31">
        <f t="shared" ca="1" si="24"/>
        <v>-3.151121070266797E-2</v>
      </c>
      <c r="P105" s="31">
        <f t="shared" si="19"/>
        <v>-3.1850730574846657E-2</v>
      </c>
      <c r="Q105" s="34">
        <f t="shared" si="18"/>
        <v>37933.497600000002</v>
      </c>
      <c r="R105" s="31">
        <f t="shared" si="20"/>
        <v>1.3730586301771302E-5</v>
      </c>
      <c r="S105" s="17">
        <v>1</v>
      </c>
      <c r="T105">
        <f t="shared" si="21"/>
        <v>1.3730586301771302E-5</v>
      </c>
    </row>
    <row r="106" spans="1:20" x14ac:dyDescent="0.2">
      <c r="A106" s="37" t="s">
        <v>56</v>
      </c>
      <c r="B106" s="41" t="s">
        <v>54</v>
      </c>
      <c r="C106" s="8">
        <v>53259.703300000001</v>
      </c>
      <c r="D106" s="8">
        <v>8.0000000000000004E-4</v>
      </c>
      <c r="E106" s="31">
        <f t="shared" si="17"/>
        <v>15394.95573116482</v>
      </c>
      <c r="F106" s="31">
        <f t="shared" si="15"/>
        <v>15395</v>
      </c>
      <c r="G106" s="33">
        <f t="shared" si="22"/>
        <v>-3.4573749995615799E-2</v>
      </c>
      <c r="H106" s="31"/>
      <c r="I106" s="31"/>
      <c r="J106" s="31"/>
      <c r="K106" s="31">
        <f t="shared" si="25"/>
        <v>-3.4573749995615799E-2</v>
      </c>
      <c r="L106" s="31"/>
      <c r="M106" s="31"/>
      <c r="N106" s="31"/>
      <c r="O106" s="31">
        <f t="shared" ca="1" si="24"/>
        <v>-3.3889799358062571E-2</v>
      </c>
      <c r="P106" s="31">
        <f t="shared" si="19"/>
        <v>-3.4485318992809121E-2</v>
      </c>
      <c r="Q106" s="34">
        <f t="shared" si="18"/>
        <v>38241.203300000001</v>
      </c>
      <c r="R106" s="31">
        <f t="shared" si="20"/>
        <v>7.8200422573947673E-9</v>
      </c>
      <c r="S106" s="17">
        <v>1</v>
      </c>
      <c r="T106">
        <f t="shared" si="21"/>
        <v>7.8200422573947673E-9</v>
      </c>
    </row>
    <row r="107" spans="1:20" x14ac:dyDescent="0.2">
      <c r="A107" s="37" t="s">
        <v>56</v>
      </c>
      <c r="B107" s="41" t="s">
        <v>54</v>
      </c>
      <c r="C107" s="8">
        <v>53281.564599999998</v>
      </c>
      <c r="D107" s="8">
        <v>1.2999999999999999E-3</v>
      </c>
      <c r="E107" s="31">
        <f t="shared" si="17"/>
        <v>15422.947322662973</v>
      </c>
      <c r="F107" s="31">
        <f t="shared" si="15"/>
        <v>15423</v>
      </c>
      <c r="G107" s="33">
        <f t="shared" si="22"/>
        <v>-4.1140749999613035E-2</v>
      </c>
      <c r="H107" s="31"/>
      <c r="I107" s="31"/>
      <c r="J107" s="31"/>
      <c r="K107" s="31">
        <f t="shared" si="25"/>
        <v>-4.1140749999613035E-2</v>
      </c>
      <c r="L107" s="31"/>
      <c r="M107" s="31"/>
      <c r="N107" s="31"/>
      <c r="O107" s="31">
        <f t="shared" ca="1" si="24"/>
        <v>-3.4058836115298731E-2</v>
      </c>
      <c r="P107" s="31">
        <f t="shared" si="19"/>
        <v>-3.4676084207175155E-2</v>
      </c>
      <c r="Q107" s="34">
        <f t="shared" si="18"/>
        <v>38263.064599999998</v>
      </c>
      <c r="R107" s="31">
        <f t="shared" si="20"/>
        <v>4.1791903807916488E-5</v>
      </c>
      <c r="S107" s="17">
        <v>1</v>
      </c>
      <c r="T107">
        <f t="shared" si="21"/>
        <v>4.1791903807916488E-5</v>
      </c>
    </row>
    <row r="108" spans="1:20" x14ac:dyDescent="0.2">
      <c r="A108" s="35" t="s">
        <v>345</v>
      </c>
      <c r="B108" s="17" t="s">
        <v>54</v>
      </c>
      <c r="C108" s="46">
        <v>53953.223400000003</v>
      </c>
      <c r="D108" s="46" t="s">
        <v>70</v>
      </c>
      <c r="E108" s="31">
        <f t="shared" si="17"/>
        <v>16282.951016667519</v>
      </c>
      <c r="F108" s="31">
        <f t="shared" si="15"/>
        <v>16283</v>
      </c>
      <c r="G108" s="33">
        <f t="shared" si="22"/>
        <v>-3.82557499979157E-2</v>
      </c>
      <c r="H108" s="31"/>
      <c r="I108" s="31"/>
      <c r="J108" s="31"/>
      <c r="K108" s="31">
        <f t="shared" si="25"/>
        <v>-3.82557499979157E-2</v>
      </c>
      <c r="L108" s="31"/>
      <c r="M108" s="31"/>
      <c r="N108" s="31"/>
      <c r="O108" s="31">
        <f t="shared" ca="1" si="24"/>
        <v>-3.925067937326663E-2</v>
      </c>
      <c r="P108" s="31">
        <f t="shared" si="19"/>
        <v>-4.0763809646581377E-2</v>
      </c>
      <c r="Q108" s="34">
        <f t="shared" si="18"/>
        <v>38934.723400000003</v>
      </c>
      <c r="R108" s="31">
        <f t="shared" si="20"/>
        <v>6.2903632012649974E-6</v>
      </c>
      <c r="S108" s="17">
        <v>1</v>
      </c>
      <c r="T108">
        <f t="shared" si="21"/>
        <v>6.2903632012649974E-6</v>
      </c>
    </row>
    <row r="109" spans="1:20" x14ac:dyDescent="0.2">
      <c r="A109" s="37" t="s">
        <v>53</v>
      </c>
      <c r="B109" s="42" t="s">
        <v>54</v>
      </c>
      <c r="C109" s="8">
        <v>53991.492299999998</v>
      </c>
      <c r="D109" s="33">
        <v>1.1999999999999999E-3</v>
      </c>
      <c r="E109" s="31">
        <f t="shared" si="17"/>
        <v>16331.951186642938</v>
      </c>
      <c r="F109" s="31">
        <f t="shared" si="15"/>
        <v>16332</v>
      </c>
      <c r="G109" s="33">
        <f t="shared" si="22"/>
        <v>-3.8123000005725771E-2</v>
      </c>
      <c r="H109" s="31"/>
      <c r="I109" s="31"/>
      <c r="J109" s="31">
        <f>+G109</f>
        <v>-3.8123000005725771E-2</v>
      </c>
      <c r="L109" s="31"/>
      <c r="M109" s="31"/>
      <c r="N109" s="31"/>
      <c r="O109" s="31">
        <f t="shared" ca="1" si="24"/>
        <v>-3.9546493698429906E-2</v>
      </c>
      <c r="P109" s="31">
        <f t="shared" si="19"/>
        <v>-4.1123995968638576E-2</v>
      </c>
      <c r="Q109" s="34">
        <f t="shared" si="18"/>
        <v>38972.992299999998</v>
      </c>
      <c r="R109" s="31">
        <f t="shared" si="20"/>
        <v>9.0059767694189499E-6</v>
      </c>
      <c r="S109" s="17">
        <v>1</v>
      </c>
      <c r="T109">
        <f t="shared" si="21"/>
        <v>9.0059767694189499E-6</v>
      </c>
    </row>
    <row r="110" spans="1:20" x14ac:dyDescent="0.2">
      <c r="A110" s="35" t="s">
        <v>356</v>
      </c>
      <c r="B110" s="17" t="s">
        <v>54</v>
      </c>
      <c r="C110" s="46">
        <v>55075.515800000001</v>
      </c>
      <c r="D110" s="46" t="s">
        <v>70</v>
      </c>
      <c r="E110" s="31">
        <f t="shared" si="17"/>
        <v>17719.953866556811</v>
      </c>
      <c r="F110" s="31">
        <f t="shared" si="15"/>
        <v>17720</v>
      </c>
      <c r="G110" s="33">
        <f t="shared" si="22"/>
        <v>-3.6029999995662365E-2</v>
      </c>
      <c r="H110" s="31"/>
      <c r="I110" s="31"/>
      <c r="J110" s="31"/>
      <c r="K110" s="31">
        <f t="shared" ref="K110:K115" si="26">+G110</f>
        <v>-3.6029999995662365E-2</v>
      </c>
      <c r="L110" s="31"/>
      <c r="M110" s="31"/>
      <c r="N110" s="31"/>
      <c r="O110" s="31">
        <f t="shared" ca="1" si="24"/>
        <v>-4.7925887235708335E-2</v>
      </c>
      <c r="P110" s="31">
        <f t="shared" si="19"/>
        <v>-5.1923635400297707E-2</v>
      </c>
      <c r="Q110" s="34">
        <f t="shared" si="18"/>
        <v>40057.015800000001</v>
      </c>
      <c r="R110" s="31">
        <f t="shared" si="20"/>
        <v>2.5260764637547806E-4</v>
      </c>
      <c r="S110" s="17">
        <v>1</v>
      </c>
      <c r="T110">
        <f t="shared" si="21"/>
        <v>2.5260764637547806E-4</v>
      </c>
    </row>
    <row r="111" spans="1:20" x14ac:dyDescent="0.2">
      <c r="A111" s="73" t="s">
        <v>59</v>
      </c>
      <c r="B111" s="74" t="s">
        <v>54</v>
      </c>
      <c r="C111" s="75">
        <v>55075.51586</v>
      </c>
      <c r="D111" s="75">
        <v>4.0000000000000002E-4</v>
      </c>
      <c r="E111" s="31">
        <f t="shared" si="17"/>
        <v>17719.953943381857</v>
      </c>
      <c r="F111" s="31">
        <f t="shared" si="15"/>
        <v>17720</v>
      </c>
      <c r="G111" s="33">
        <f t="shared" si="22"/>
        <v>-3.5969999997178093E-2</v>
      </c>
      <c r="H111" s="31"/>
      <c r="I111" s="31"/>
      <c r="J111" s="31"/>
      <c r="K111" s="31">
        <f t="shared" si="26"/>
        <v>-3.5969999997178093E-2</v>
      </c>
      <c r="L111" s="31"/>
      <c r="M111" s="31"/>
      <c r="O111" s="31">
        <f t="shared" ca="1" si="24"/>
        <v>-4.7925887235708335E-2</v>
      </c>
      <c r="P111" s="31">
        <f t="shared" si="19"/>
        <v>-5.1923635400297707E-2</v>
      </c>
      <c r="Q111" s="34">
        <f t="shared" si="18"/>
        <v>40057.01586</v>
      </c>
      <c r="R111" s="31">
        <f t="shared" si="20"/>
        <v>2.5451848257567155E-4</v>
      </c>
      <c r="S111" s="17">
        <v>1</v>
      </c>
      <c r="T111">
        <f t="shared" si="21"/>
        <v>2.5451848257567155E-4</v>
      </c>
    </row>
    <row r="112" spans="1:20" x14ac:dyDescent="0.2">
      <c r="A112" s="35" t="s">
        <v>362</v>
      </c>
      <c r="B112" s="17" t="s">
        <v>54</v>
      </c>
      <c r="C112" s="46">
        <v>55088.000800000002</v>
      </c>
      <c r="D112" s="46" t="s">
        <v>70</v>
      </c>
      <c r="E112" s="31">
        <f t="shared" si="17"/>
        <v>17735.939879275837</v>
      </c>
      <c r="F112" s="31">
        <f t="shared" si="15"/>
        <v>17736</v>
      </c>
      <c r="G112" s="33">
        <f t="shared" si="22"/>
        <v>-4.6953999997640494E-2</v>
      </c>
      <c r="H112" s="31"/>
      <c r="I112" s="31"/>
      <c r="J112" s="31"/>
      <c r="K112" s="31">
        <f t="shared" si="26"/>
        <v>-4.6953999997640494E-2</v>
      </c>
      <c r="L112" s="31"/>
      <c r="M112" s="31"/>
      <c r="N112" s="31"/>
      <c r="O112" s="31">
        <f t="shared" ca="1" si="24"/>
        <v>-4.8022479668414712E-2</v>
      </c>
      <c r="P112" s="31">
        <f t="shared" si="19"/>
        <v>-5.205484859365659E-2</v>
      </c>
      <c r="Q112" s="34">
        <f t="shared" si="18"/>
        <v>40069.500800000002</v>
      </c>
      <c r="R112" s="31">
        <f t="shared" si="20"/>
        <v>2.6018656399479374E-5</v>
      </c>
      <c r="S112" s="17">
        <v>1</v>
      </c>
      <c r="T112">
        <f t="shared" si="21"/>
        <v>2.6018656399479374E-5</v>
      </c>
    </row>
    <row r="113" spans="1:20" x14ac:dyDescent="0.2">
      <c r="A113" s="43" t="s">
        <v>61</v>
      </c>
      <c r="B113" s="44" t="s">
        <v>54</v>
      </c>
      <c r="C113" s="43">
        <v>55862.739500000003</v>
      </c>
      <c r="D113" s="43">
        <v>5.9999999999999995E-4</v>
      </c>
      <c r="E113" s="31">
        <f t="shared" si="17"/>
        <v>18727.92888305019</v>
      </c>
      <c r="F113" s="31">
        <f t="shared" si="15"/>
        <v>18728</v>
      </c>
      <c r="G113" s="33">
        <f t="shared" si="22"/>
        <v>-5.554199999460252E-2</v>
      </c>
      <c r="H113" s="31"/>
      <c r="I113" s="31"/>
      <c r="J113" s="31"/>
      <c r="K113" s="31">
        <f t="shared" si="26"/>
        <v>-5.554199999460252E-2</v>
      </c>
      <c r="L113" s="31"/>
      <c r="M113" s="31"/>
      <c r="N113" s="31"/>
      <c r="O113" s="31">
        <f t="shared" ca="1" si="24"/>
        <v>-5.4011210496210237E-2</v>
      </c>
      <c r="P113" s="31">
        <f t="shared" si="19"/>
        <v>-6.048926718490847E-2</v>
      </c>
      <c r="Q113" s="34">
        <f t="shared" si="18"/>
        <v>40844.239500000003</v>
      </c>
      <c r="R113" s="31">
        <f t="shared" si="20"/>
        <v>2.4475452652277726E-5</v>
      </c>
      <c r="S113" s="17">
        <v>1</v>
      </c>
      <c r="T113">
        <f t="shared" si="21"/>
        <v>2.4475452652277726E-5</v>
      </c>
    </row>
    <row r="114" spans="1:20" x14ac:dyDescent="0.2">
      <c r="A114" s="76" t="s">
        <v>1</v>
      </c>
      <c r="B114" s="77" t="s">
        <v>44</v>
      </c>
      <c r="C114" s="76">
        <v>56865.137699999847</v>
      </c>
      <c r="D114" s="76" t="s">
        <v>361</v>
      </c>
      <c r="E114" s="31">
        <f t="shared" si="17"/>
        <v>20011.41709888741</v>
      </c>
      <c r="F114" s="31">
        <f t="shared" si="15"/>
        <v>20011.5</v>
      </c>
      <c r="G114" s="33">
        <f t="shared" si="22"/>
        <v>-6.4745375151687767E-2</v>
      </c>
      <c r="H114" s="31"/>
      <c r="I114" s="31"/>
      <c r="J114" s="31"/>
      <c r="K114" s="31">
        <f t="shared" si="26"/>
        <v>-6.4745375151687767E-2</v>
      </c>
      <c r="L114" s="31"/>
      <c r="M114" s="31"/>
      <c r="O114" s="31">
        <f t="shared" ca="1" si="24"/>
        <v>-6.175973470737512E-2</v>
      </c>
      <c r="P114" s="31">
        <f t="shared" si="19"/>
        <v>-7.2276048963635375E-2</v>
      </c>
      <c r="Q114" s="34">
        <f t="shared" si="18"/>
        <v>41846.637699999847</v>
      </c>
      <c r="R114" s="31">
        <f t="shared" si="20"/>
        <v>5.6711048061953519E-5</v>
      </c>
      <c r="S114" s="17">
        <v>1</v>
      </c>
      <c r="T114">
        <f t="shared" si="21"/>
        <v>5.6711048061953519E-5</v>
      </c>
    </row>
    <row r="115" spans="1:20" x14ac:dyDescent="0.2">
      <c r="A115" s="35" t="s">
        <v>383</v>
      </c>
      <c r="B115" s="17" t="s">
        <v>44</v>
      </c>
      <c r="C115" s="46">
        <v>56865.137699999999</v>
      </c>
      <c r="D115" s="46" t="s">
        <v>70</v>
      </c>
      <c r="E115" s="31">
        <f t="shared" si="17"/>
        <v>20011.417098887607</v>
      </c>
      <c r="F115" s="31">
        <f t="shared" si="15"/>
        <v>20011.5</v>
      </c>
      <c r="G115" s="33">
        <f t="shared" si="22"/>
        <v>-6.4745374998892657E-2</v>
      </c>
      <c r="H115" s="31"/>
      <c r="I115" s="31"/>
      <c r="J115" s="31"/>
      <c r="K115" s="31">
        <f t="shared" si="26"/>
        <v>-6.4745374998892657E-2</v>
      </c>
      <c r="L115" s="31"/>
      <c r="M115" s="31"/>
      <c r="N115" s="31"/>
      <c r="O115" s="31">
        <f t="shared" ca="1" si="24"/>
        <v>-6.175973470737512E-2</v>
      </c>
      <c r="P115" s="31">
        <f t="shared" si="19"/>
        <v>-7.2276048963635375E-2</v>
      </c>
      <c r="Q115" s="34">
        <f t="shared" si="18"/>
        <v>41846.637699999999</v>
      </c>
      <c r="R115" s="31">
        <f t="shared" si="20"/>
        <v>5.6711050363253803E-5</v>
      </c>
      <c r="S115" s="17">
        <v>1</v>
      </c>
      <c r="T115">
        <f t="shared" si="21"/>
        <v>5.6711050363253803E-5</v>
      </c>
    </row>
    <row r="116" spans="1:20" x14ac:dyDescent="0.2">
      <c r="A116" s="69" t="s">
        <v>2</v>
      </c>
      <c r="B116" s="70" t="s">
        <v>54</v>
      </c>
      <c r="C116" s="71">
        <v>57329.440000000002</v>
      </c>
      <c r="D116" s="72">
        <v>4.0000000000000001E-3</v>
      </c>
      <c r="E116" s="31">
        <f t="shared" si="17"/>
        <v>20605.917897708088</v>
      </c>
      <c r="F116" s="31">
        <f t="shared" si="15"/>
        <v>20606</v>
      </c>
      <c r="G116" s="33">
        <f t="shared" si="22"/>
        <v>-6.4121499999600928E-2</v>
      </c>
      <c r="H116" s="31"/>
      <c r="I116" s="31">
        <f>+G116</f>
        <v>-6.4121499999600928E-2</v>
      </c>
      <c r="J116" s="31"/>
      <c r="L116" s="31"/>
      <c r="M116" s="31"/>
      <c r="N116" s="31"/>
      <c r="O116" s="31">
        <f t="shared" ca="1" si="24"/>
        <v>-6.5348747285121522E-2</v>
      </c>
      <c r="P116" s="31">
        <f t="shared" si="19"/>
        <v>-7.8069598507488264E-2</v>
      </c>
      <c r="Q116" s="34">
        <f t="shared" si="18"/>
        <v>42310.94</v>
      </c>
      <c r="R116" s="31">
        <f t="shared" si="20"/>
        <v>1.9454945198572892E-4</v>
      </c>
      <c r="S116" s="17">
        <v>1</v>
      </c>
      <c r="T116">
        <f t="shared" si="21"/>
        <v>1.9454945198572892E-4</v>
      </c>
    </row>
    <row r="117" spans="1:20" x14ac:dyDescent="0.2">
      <c r="A117" s="76" t="s">
        <v>0</v>
      </c>
      <c r="B117" s="77" t="s">
        <v>44</v>
      </c>
      <c r="C117" s="76">
        <v>57635.98</v>
      </c>
      <c r="D117" s="76" t="s">
        <v>361</v>
      </c>
      <c r="E117" s="31">
        <f>+(C117-C$7)/C$8</f>
        <v>20998.417083842705</v>
      </c>
      <c r="F117" s="31">
        <f t="shared" si="15"/>
        <v>20998.5</v>
      </c>
      <c r="G117" s="33">
        <f>+C117-(C$7+F117*C$8)</f>
        <v>-6.4757124993775506E-2</v>
      </c>
      <c r="H117" s="31"/>
      <c r="I117" s="31"/>
      <c r="J117" s="31"/>
      <c r="K117" s="31">
        <f>+G117</f>
        <v>-6.4757124993775506E-2</v>
      </c>
      <c r="L117" s="31"/>
      <c r="M117" s="31"/>
      <c r="N117" s="31"/>
      <c r="O117" s="31">
        <f ca="1">+C$11+C$12*F117</f>
        <v>-6.7718280399949898E-2</v>
      </c>
      <c r="P117" s="31">
        <f>+D$11+D$12*F117+D$13*F117^2</f>
        <v>-8.2010525072873375E-2</v>
      </c>
      <c r="Q117" s="34">
        <f>+C117-15018.5</f>
        <v>42617.48</v>
      </c>
      <c r="R117" s="31">
        <f>+(P117-G117)^2</f>
        <v>2.9767981428941435E-4</v>
      </c>
      <c r="S117" s="17">
        <v>1</v>
      </c>
      <c r="T117">
        <f>+S117*R117</f>
        <v>2.9767981428941435E-4</v>
      </c>
    </row>
    <row r="118" spans="1:20" x14ac:dyDescent="0.2">
      <c r="A118" s="78" t="s">
        <v>392</v>
      </c>
      <c r="B118" s="79" t="s">
        <v>54</v>
      </c>
      <c r="C118" s="80">
        <v>59101.507000000216</v>
      </c>
      <c r="D118" s="78">
        <v>5.0000000000000001E-3</v>
      </c>
      <c r="E118" s="31">
        <f t="shared" ref="E118:E123" si="27">+(C118-C$7)/C$8</f>
        <v>22874.903528542865</v>
      </c>
      <c r="F118" s="31">
        <f t="shared" ref="F118:F123" si="28">ROUND(2*E118,0)/2</f>
        <v>22875</v>
      </c>
      <c r="G118" s="33">
        <f t="shared" ref="G118:G123" si="29">+C118-(C$7+F118*C$8)</f>
        <v>-7.5343749784224201E-2</v>
      </c>
      <c r="H118" s="31"/>
      <c r="I118" s="31"/>
      <c r="J118" s="31"/>
      <c r="K118" s="31">
        <f t="shared" ref="K118:K123" si="30">+G118</f>
        <v>-7.5343749784224201E-2</v>
      </c>
      <c r="L118" s="31"/>
      <c r="M118" s="31"/>
      <c r="N118" s="31"/>
      <c r="O118" s="31">
        <f t="shared" ref="O118:O123" ca="1" si="31">+C$11+C$12*F118</f>
        <v>-7.9046761648294966E-2</v>
      </c>
      <c r="P118" s="31">
        <f t="shared" ref="P118:P123" si="32">+D$11+D$12*F118+D$13*F118^2</f>
        <v>-0.1021256796888218</v>
      </c>
      <c r="Q118" s="34">
        <f t="shared" ref="Q118:Q123" si="33">+C118-15018.5</f>
        <v>44083.007000000216</v>
      </c>
      <c r="R118" s="31">
        <f t="shared" ref="R118:R123" si="34">+(P118-G118)^2</f>
        <v>7.172717694147793E-4</v>
      </c>
      <c r="S118" s="17">
        <v>1</v>
      </c>
      <c r="T118">
        <f t="shared" ref="T118:T123" si="35">+S118*R118</f>
        <v>7.172717694147793E-4</v>
      </c>
    </row>
    <row r="119" spans="1:20" x14ac:dyDescent="0.2">
      <c r="A119" s="78" t="s">
        <v>393</v>
      </c>
      <c r="B119" s="79" t="s">
        <v>54</v>
      </c>
      <c r="C119" s="80">
        <v>59431.074200000148</v>
      </c>
      <c r="D119" s="79" t="s">
        <v>394</v>
      </c>
      <c r="E119" s="31">
        <f t="shared" si="27"/>
        <v>23296.887144960419</v>
      </c>
      <c r="F119" s="31">
        <f t="shared" si="28"/>
        <v>23297</v>
      </c>
      <c r="G119" s="33">
        <f t="shared" si="29"/>
        <v>-8.8139249855885282E-2</v>
      </c>
      <c r="H119" s="31"/>
      <c r="I119" s="31"/>
      <c r="J119" s="31"/>
      <c r="K119" s="31">
        <f t="shared" si="30"/>
        <v>-8.8139249855885282E-2</v>
      </c>
      <c r="L119" s="31"/>
      <c r="M119" s="31"/>
      <c r="N119" s="31"/>
      <c r="O119" s="31">
        <f t="shared" ca="1" si="31"/>
        <v>-8.1594387060925727E-2</v>
      </c>
      <c r="P119" s="31">
        <f t="shared" si="32"/>
        <v>-0.10693954486842427</v>
      </c>
      <c r="Q119" s="34">
        <f t="shared" si="33"/>
        <v>44412.574200000148</v>
      </c>
      <c r="R119" s="31">
        <f t="shared" si="34"/>
        <v>3.5345109255849853E-4</v>
      </c>
      <c r="S119" s="17">
        <v>1</v>
      </c>
      <c r="T119">
        <f t="shared" si="35"/>
        <v>3.5345109255849853E-4</v>
      </c>
    </row>
    <row r="120" spans="1:20" x14ac:dyDescent="0.2">
      <c r="A120" s="78" t="s">
        <v>393</v>
      </c>
      <c r="B120" s="79" t="s">
        <v>54</v>
      </c>
      <c r="C120" s="80">
        <v>59431.075600000098</v>
      </c>
      <c r="D120" s="79" t="s">
        <v>395</v>
      </c>
      <c r="E120" s="31">
        <f t="shared" si="27"/>
        <v>23296.888937544882</v>
      </c>
      <c r="F120" s="31">
        <f t="shared" si="28"/>
        <v>23297</v>
      </c>
      <c r="G120" s="33">
        <f t="shared" si="29"/>
        <v>-8.6739249905804172E-2</v>
      </c>
      <c r="H120" s="31"/>
      <c r="I120" s="31"/>
      <c r="J120" s="31"/>
      <c r="K120" s="31">
        <f t="shared" si="30"/>
        <v>-8.6739249905804172E-2</v>
      </c>
      <c r="L120" s="31"/>
      <c r="M120" s="31"/>
      <c r="N120" s="31"/>
      <c r="O120" s="31">
        <f t="shared" ca="1" si="31"/>
        <v>-8.1594387060925727E-2</v>
      </c>
      <c r="P120" s="31">
        <f t="shared" si="32"/>
        <v>-0.10693954486842427</v>
      </c>
      <c r="Q120" s="34">
        <f t="shared" si="33"/>
        <v>44412.575600000098</v>
      </c>
      <c r="R120" s="31">
        <f t="shared" si="34"/>
        <v>4.0805191657685509E-4</v>
      </c>
      <c r="S120" s="17">
        <v>1</v>
      </c>
      <c r="T120">
        <f t="shared" si="35"/>
        <v>4.0805191657685509E-4</v>
      </c>
    </row>
    <row r="121" spans="1:20" x14ac:dyDescent="0.2">
      <c r="A121" s="78" t="s">
        <v>393</v>
      </c>
      <c r="B121" s="79" t="s">
        <v>54</v>
      </c>
      <c r="C121" s="80">
        <v>59477.927500000224</v>
      </c>
      <c r="D121" s="79" t="s">
        <v>361</v>
      </c>
      <c r="E121" s="31">
        <f t="shared" si="27"/>
        <v>23356.878931082134</v>
      </c>
      <c r="F121" s="31">
        <f t="shared" si="28"/>
        <v>23357</v>
      </c>
      <c r="G121" s="33">
        <f t="shared" si="29"/>
        <v>-9.4554249779321253E-2</v>
      </c>
      <c r="H121" s="31"/>
      <c r="I121" s="31"/>
      <c r="J121" s="31"/>
      <c r="K121" s="31">
        <f t="shared" si="30"/>
        <v>-9.4554249779321253E-2</v>
      </c>
      <c r="L121" s="31"/>
      <c r="M121" s="31"/>
      <c r="N121" s="31"/>
      <c r="O121" s="31">
        <f t="shared" ca="1" si="31"/>
        <v>-8.1956608683574655E-2</v>
      </c>
      <c r="P121" s="31">
        <f t="shared" si="32"/>
        <v>-0.10763263411120932</v>
      </c>
      <c r="Q121" s="34">
        <f t="shared" si="33"/>
        <v>44459.427500000224</v>
      </c>
      <c r="R121" s="31">
        <f t="shared" si="34"/>
        <v>1.7104413673257537E-4</v>
      </c>
      <c r="S121" s="17">
        <v>1</v>
      </c>
      <c r="T121">
        <f t="shared" si="35"/>
        <v>1.7104413673257537E-4</v>
      </c>
    </row>
    <row r="122" spans="1:20" ht="12" customHeight="1" x14ac:dyDescent="0.2">
      <c r="A122" s="78" t="s">
        <v>393</v>
      </c>
      <c r="B122" s="79" t="s">
        <v>54</v>
      </c>
      <c r="C122" s="80">
        <v>59484.961600000039</v>
      </c>
      <c r="D122" s="79" t="s">
        <v>361</v>
      </c>
      <c r="E122" s="31">
        <f t="shared" si="27"/>
        <v>23365.885515949092</v>
      </c>
      <c r="F122" s="31">
        <f t="shared" si="28"/>
        <v>23366</v>
      </c>
      <c r="G122" s="33">
        <f t="shared" si="29"/>
        <v>-8.9411499960988294E-2</v>
      </c>
      <c r="H122" s="31"/>
      <c r="I122" s="31"/>
      <c r="J122" s="31"/>
      <c r="K122" s="31">
        <f t="shared" si="30"/>
        <v>-8.9411499960988294E-2</v>
      </c>
      <c r="L122" s="31"/>
      <c r="M122" s="31"/>
      <c r="N122" s="31"/>
      <c r="O122" s="31">
        <f t="shared" ca="1" si="31"/>
        <v>-8.2010941926971975E-2</v>
      </c>
      <c r="P122" s="31">
        <f t="shared" si="32"/>
        <v>-0.10773678331309375</v>
      </c>
      <c r="Q122" s="34">
        <f t="shared" si="33"/>
        <v>44466.461600000039</v>
      </c>
      <c r="R122" s="31">
        <f t="shared" si="34"/>
        <v>3.3581600993495332E-4</v>
      </c>
      <c r="S122" s="17">
        <v>1</v>
      </c>
      <c r="T122">
        <f t="shared" si="35"/>
        <v>3.3581600993495332E-4</v>
      </c>
    </row>
    <row r="123" spans="1:20" ht="12" customHeight="1" x14ac:dyDescent="0.2">
      <c r="A123" s="78" t="s">
        <v>393</v>
      </c>
      <c r="B123" s="79" t="s">
        <v>54</v>
      </c>
      <c r="C123" s="80">
        <v>59484.963399999775</v>
      </c>
      <c r="D123" s="79" t="s">
        <v>396</v>
      </c>
      <c r="E123" s="31">
        <f t="shared" si="27"/>
        <v>23365.887820700285</v>
      </c>
      <c r="F123" s="31">
        <f t="shared" si="28"/>
        <v>23366</v>
      </c>
      <c r="G123" s="33">
        <f t="shared" si="29"/>
        <v>-8.7611500224738847E-2</v>
      </c>
      <c r="H123" s="31"/>
      <c r="I123" s="31"/>
      <c r="J123" s="31"/>
      <c r="K123" s="31">
        <f t="shared" si="30"/>
        <v>-8.7611500224738847E-2</v>
      </c>
      <c r="L123" s="31"/>
      <c r="M123" s="31"/>
      <c r="N123" s="31"/>
      <c r="O123" s="31">
        <f t="shared" ca="1" si="31"/>
        <v>-8.2010941926971975E-2</v>
      </c>
      <c r="P123" s="31">
        <f t="shared" si="32"/>
        <v>-0.10773678331309375</v>
      </c>
      <c r="Q123" s="34">
        <f t="shared" si="33"/>
        <v>44466.463399999775</v>
      </c>
      <c r="R123" s="31">
        <f t="shared" si="34"/>
        <v>4.0502701938642375E-4</v>
      </c>
      <c r="S123" s="17">
        <v>1</v>
      </c>
      <c r="T123">
        <f t="shared" si="35"/>
        <v>4.0502701938642375E-4</v>
      </c>
    </row>
    <row r="124" spans="1:20" ht="12" customHeight="1" x14ac:dyDescent="0.2">
      <c r="A124" s="81" t="s">
        <v>397</v>
      </c>
      <c r="B124" s="82" t="s">
        <v>54</v>
      </c>
      <c r="C124" s="80">
        <v>59892.667800000003</v>
      </c>
      <c r="D124" s="78">
        <v>1.6999999999999999E-3</v>
      </c>
      <c r="E124" s="31">
        <f t="shared" ref="E124" si="36">+(C124-C$7)/C$8</f>
        <v>23887.919676848232</v>
      </c>
      <c r="F124" s="31">
        <f t="shared" ref="F124" si="37">ROUND(2*E124,0)/2</f>
        <v>23888</v>
      </c>
      <c r="G124" s="33">
        <f t="shared" ref="G124" si="38">+C124-(C$7+F124*C$8)</f>
        <v>-6.2731999998504762E-2</v>
      </c>
      <c r="H124" s="31"/>
      <c r="I124" s="31"/>
      <c r="J124" s="31"/>
      <c r="K124" s="31">
        <f t="shared" ref="K124" si="39">+G124</f>
        <v>-6.2731999998504762E-2</v>
      </c>
      <c r="L124" s="31"/>
      <c r="M124" s="31"/>
      <c r="N124" s="31"/>
      <c r="O124" s="31">
        <f t="shared" ref="O124" ca="1" si="40">+C$11+C$12*F124</f>
        <v>-8.5162270044017607E-2</v>
      </c>
      <c r="P124" s="31">
        <f t="shared" ref="P124" si="41">+D$11+D$12*F124+D$13*F124^2</f>
        <v>-0.11386037535198365</v>
      </c>
      <c r="Q124" s="34">
        <f t="shared" ref="Q124" si="42">+C124-15018.5</f>
        <v>44874.167800000003</v>
      </c>
      <c r="R124" s="31">
        <f t="shared" ref="R124" si="43">+(P124-G124)^2</f>
        <v>2.6141107662862274E-3</v>
      </c>
      <c r="S124" s="17">
        <v>1</v>
      </c>
      <c r="T124">
        <f t="shared" ref="T124" si="44">+S124*R124</f>
        <v>2.6141107662862274E-3</v>
      </c>
    </row>
    <row r="125" spans="1:20" ht="12" customHeight="1" x14ac:dyDescent="0.2">
      <c r="B125" s="17"/>
      <c r="C125" s="46"/>
      <c r="D125" s="46"/>
    </row>
    <row r="126" spans="1:20" ht="12" customHeight="1" x14ac:dyDescent="0.2">
      <c r="B126" s="17"/>
      <c r="C126" s="46"/>
      <c r="D126" s="46"/>
    </row>
    <row r="127" spans="1:20" ht="12" customHeight="1" x14ac:dyDescent="0.2">
      <c r="B127" s="17"/>
      <c r="C127" s="46"/>
      <c r="D127" s="46"/>
    </row>
    <row r="128" spans="1:20" ht="12" customHeight="1" x14ac:dyDescent="0.2">
      <c r="B128" s="17"/>
      <c r="C128" s="46"/>
      <c r="D128" s="46"/>
    </row>
    <row r="129" spans="2:4" x14ac:dyDescent="0.2">
      <c r="B129" s="17"/>
      <c r="C129" s="46"/>
      <c r="D129" s="46"/>
    </row>
    <row r="130" spans="2:4" x14ac:dyDescent="0.2">
      <c r="C130" s="46"/>
      <c r="D130" s="46"/>
    </row>
    <row r="131" spans="2:4" x14ac:dyDescent="0.2">
      <c r="C131" s="46"/>
      <c r="D131" s="46"/>
    </row>
    <row r="132" spans="2:4" x14ac:dyDescent="0.2">
      <c r="C132" s="46"/>
      <c r="D132" s="46"/>
    </row>
    <row r="133" spans="2:4" x14ac:dyDescent="0.2">
      <c r="C133" s="46"/>
      <c r="D133" s="46"/>
    </row>
    <row r="134" spans="2:4" x14ac:dyDescent="0.2">
      <c r="C134" s="46"/>
      <c r="D134" s="46"/>
    </row>
    <row r="135" spans="2:4" x14ac:dyDescent="0.2">
      <c r="C135" s="46"/>
      <c r="D135" s="46"/>
    </row>
  </sheetData>
  <phoneticPr fontId="8" type="noConversion"/>
  <hyperlinks>
    <hyperlink ref="H3387" r:id="rId1" display="http://vsolj.cetus-net.org/bulletin.html" xr:uid="{00000000-0004-0000-0000-000000000000}"/>
    <hyperlink ref="H65031" r:id="rId2" display="http://vsolj.cetus-net.org/bulletin.html" xr:uid="{00000000-0004-0000-0000-000001000000}"/>
    <hyperlink ref="H65024" r:id="rId3" display="https://www.aavso.org/ejaavso" xr:uid="{00000000-0004-0000-0000-000002000000}"/>
    <hyperlink ref="I65031" r:id="rId4" display="http://vsolj.cetus-net.org/bulletin.html" xr:uid="{00000000-0004-0000-0000-000003000000}"/>
    <hyperlink ref="AQ58682" r:id="rId5" display="http://cdsbib.u-strasbg.fr/cgi-bin/cdsbib?1990RMxAA..21..381G" xr:uid="{00000000-0004-0000-0000-000004000000}"/>
    <hyperlink ref="H65028" r:id="rId6" display="https://www.aavso.org/ejaavso" xr:uid="{00000000-0004-0000-0000-000005000000}"/>
    <hyperlink ref="AP6046" r:id="rId7" display="http://cdsbib.u-strasbg.fr/cgi-bin/cdsbib?1990RMxAA..21..381G" xr:uid="{00000000-0004-0000-0000-000006000000}"/>
    <hyperlink ref="AP6049" r:id="rId8" display="http://cdsbib.u-strasbg.fr/cgi-bin/cdsbib?1990RMxAA..21..381G" xr:uid="{00000000-0004-0000-0000-000007000000}"/>
    <hyperlink ref="AP6047" r:id="rId9" display="http://cdsbib.u-strasbg.fr/cgi-bin/cdsbib?1990RMxAA..21..381G" xr:uid="{00000000-0004-0000-0000-000008000000}"/>
    <hyperlink ref="AP6031" r:id="rId10" display="http://cdsbib.u-strasbg.fr/cgi-bin/cdsbib?1990RMxAA..21..381G" xr:uid="{00000000-0004-0000-0000-000009000000}"/>
    <hyperlink ref="AQ6260" r:id="rId11" display="http://cdsbib.u-strasbg.fr/cgi-bin/cdsbib?1990RMxAA..21..381G" xr:uid="{00000000-0004-0000-0000-00000A000000}"/>
    <hyperlink ref="AQ6264" r:id="rId12" display="http://cdsbib.u-strasbg.fr/cgi-bin/cdsbib?1990RMxAA..21..381G" xr:uid="{00000000-0004-0000-0000-00000B000000}"/>
    <hyperlink ref="AQ408" r:id="rId13" display="http://cdsbib.u-strasbg.fr/cgi-bin/cdsbib?1990RMxAA..21..381G" xr:uid="{00000000-0004-0000-0000-00000C000000}"/>
    <hyperlink ref="I3152" r:id="rId14" display="http://vsolj.cetus-net.org/bulletin.html" xr:uid="{00000000-0004-0000-0000-00000D000000}"/>
    <hyperlink ref="H3152" r:id="rId15" display="http://vsolj.cetus-net.org/bulletin.html" xr:uid="{00000000-0004-0000-0000-00000E000000}"/>
    <hyperlink ref="AQ1069" r:id="rId16" display="http://cdsbib.u-strasbg.fr/cgi-bin/cdsbib?1990RMxAA..21..381G" xr:uid="{00000000-0004-0000-0000-00000F000000}"/>
    <hyperlink ref="AQ1068" r:id="rId17" display="http://cdsbib.u-strasbg.fr/cgi-bin/cdsbib?1990RMxAA..21..381G" xr:uid="{00000000-0004-0000-0000-000010000000}"/>
    <hyperlink ref="AP4322" r:id="rId18" display="http://cdsbib.u-strasbg.fr/cgi-bin/cdsbib?1990RMxAA..21..381G" xr:uid="{00000000-0004-0000-0000-000011000000}"/>
    <hyperlink ref="AP4340" r:id="rId19" display="http://cdsbib.u-strasbg.fr/cgi-bin/cdsbib?1990RMxAA..21..381G" xr:uid="{00000000-0004-0000-0000-000012000000}"/>
    <hyperlink ref="AP4341" r:id="rId20" display="http://cdsbib.u-strasbg.fr/cgi-bin/cdsbib?1990RMxAA..21..381G" xr:uid="{00000000-0004-0000-0000-000013000000}"/>
    <hyperlink ref="AP433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2"/>
  <sheetViews>
    <sheetView topLeftCell="A62" workbookViewId="0">
      <selection activeCell="A33" sqref="A33:D97"/>
    </sheetView>
  </sheetViews>
  <sheetFormatPr defaultRowHeight="12.75" x14ac:dyDescent="0.2"/>
  <cols>
    <col min="1" max="1" width="19.7109375" style="46" customWidth="1"/>
    <col min="2" max="2" width="4.42578125" style="14" customWidth="1"/>
    <col min="3" max="3" width="12.7109375" style="4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62</v>
      </c>
      <c r="I1" s="47" t="s">
        <v>63</v>
      </c>
      <c r="J1" s="48" t="s">
        <v>64</v>
      </c>
    </row>
    <row r="2" spans="1:16" x14ac:dyDescent="0.2">
      <c r="I2" s="49" t="s">
        <v>65</v>
      </c>
      <c r="J2" s="50" t="s">
        <v>60</v>
      </c>
    </row>
    <row r="3" spans="1:16" x14ac:dyDescent="0.2">
      <c r="A3" s="51" t="s">
        <v>66</v>
      </c>
      <c r="I3" s="49" t="s">
        <v>67</v>
      </c>
      <c r="J3" s="50" t="s">
        <v>68</v>
      </c>
    </row>
    <row r="4" spans="1:16" x14ac:dyDescent="0.2">
      <c r="I4" s="49" t="s">
        <v>69</v>
      </c>
      <c r="J4" s="50" t="s">
        <v>68</v>
      </c>
    </row>
    <row r="5" spans="1:16" ht="13.5" thickBot="1" x14ac:dyDescent="0.25">
      <c r="I5" s="52" t="s">
        <v>36</v>
      </c>
      <c r="J5" s="53" t="s">
        <v>70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MNS 30.157 </v>
      </c>
      <c r="B11" s="17" t="str">
        <f t="shared" ref="B11:B42" si="1">IF(H11=INT(H11),"I","II")</f>
        <v>I</v>
      </c>
      <c r="C11" s="46">
        <f t="shared" ref="C11:C42" si="2">1*G11</f>
        <v>41236.315999999999</v>
      </c>
      <c r="D11" s="14" t="str">
        <f t="shared" ref="D11:D42" si="3">VLOOKUP(F11,I$1:J$5,2,FALSE)</f>
        <v>vis</v>
      </c>
      <c r="E11" s="54" t="e">
        <f>VLOOKUP(C11,Active!C$21:E$973,3,FALSE)</f>
        <v>#N/A</v>
      </c>
      <c r="F11" s="17" t="s">
        <v>36</v>
      </c>
      <c r="G11" s="14" t="str">
        <f t="shared" ref="G11:G42" si="4">MID(I11,3,LEN(I11)-3)</f>
        <v>41236.316</v>
      </c>
      <c r="H11" s="46">
        <f t="shared" ref="H11:H42" si="5">1*K11</f>
        <v>-14423</v>
      </c>
      <c r="I11" s="55" t="s">
        <v>201</v>
      </c>
      <c r="J11" s="56" t="s">
        <v>202</v>
      </c>
      <c r="K11" s="55">
        <v>-14423</v>
      </c>
      <c r="L11" s="55" t="s">
        <v>203</v>
      </c>
      <c r="M11" s="56" t="s">
        <v>180</v>
      </c>
      <c r="N11" s="56" t="s">
        <v>181</v>
      </c>
      <c r="O11" s="57" t="s">
        <v>182</v>
      </c>
      <c r="P11" s="57" t="s">
        <v>183</v>
      </c>
    </row>
    <row r="12" spans="1:16" ht="12.75" customHeight="1" thickBot="1" x14ac:dyDescent="0.25">
      <c r="A12" s="46" t="str">
        <f t="shared" si="0"/>
        <v>IBVS 3277 </v>
      </c>
      <c r="B12" s="17" t="str">
        <f t="shared" si="1"/>
        <v>I</v>
      </c>
      <c r="C12" s="46">
        <f t="shared" si="2"/>
        <v>43801.910400000001</v>
      </c>
      <c r="D12" s="14" t="str">
        <f t="shared" si="3"/>
        <v>vis</v>
      </c>
      <c r="E12" s="54">
        <f>VLOOKUP(C12,Active!C$21:E$973,3,FALSE)</f>
        <v>3285.0320152395316</v>
      </c>
      <c r="F12" s="17" t="s">
        <v>36</v>
      </c>
      <c r="G12" s="14" t="str">
        <f t="shared" si="4"/>
        <v>43801.9104</v>
      </c>
      <c r="H12" s="46">
        <f t="shared" si="5"/>
        <v>-11138</v>
      </c>
      <c r="I12" s="55" t="s">
        <v>204</v>
      </c>
      <c r="J12" s="56" t="s">
        <v>205</v>
      </c>
      <c r="K12" s="55">
        <v>-11138</v>
      </c>
      <c r="L12" s="55" t="s">
        <v>206</v>
      </c>
      <c r="M12" s="56" t="s">
        <v>180</v>
      </c>
      <c r="N12" s="56" t="s">
        <v>181</v>
      </c>
      <c r="O12" s="57" t="s">
        <v>207</v>
      </c>
      <c r="P12" s="58" t="s">
        <v>208</v>
      </c>
    </row>
    <row r="13" spans="1:16" ht="12.75" customHeight="1" thickBot="1" x14ac:dyDescent="0.25">
      <c r="A13" s="46" t="str">
        <f t="shared" si="0"/>
        <v>IBVS 3277 </v>
      </c>
      <c r="B13" s="17" t="str">
        <f t="shared" si="1"/>
        <v>II</v>
      </c>
      <c r="C13" s="46">
        <f t="shared" si="2"/>
        <v>43835.887699999999</v>
      </c>
      <c r="D13" s="14" t="str">
        <f t="shared" si="3"/>
        <v>vis</v>
      </c>
      <c r="E13" s="54">
        <f>VLOOKUP(C13,Active!C$21:E$973,3,FALSE)</f>
        <v>3328.5371453923699</v>
      </c>
      <c r="F13" s="17" t="s">
        <v>36</v>
      </c>
      <c r="G13" s="14" t="str">
        <f t="shared" si="4"/>
        <v>43835.8877</v>
      </c>
      <c r="H13" s="46">
        <f t="shared" si="5"/>
        <v>-11094.5</v>
      </c>
      <c r="I13" s="55" t="s">
        <v>209</v>
      </c>
      <c r="J13" s="56" t="s">
        <v>210</v>
      </c>
      <c r="K13" s="55">
        <v>-11094.5</v>
      </c>
      <c r="L13" s="55" t="s">
        <v>211</v>
      </c>
      <c r="M13" s="56" t="s">
        <v>180</v>
      </c>
      <c r="N13" s="56" t="s">
        <v>181</v>
      </c>
      <c r="O13" s="57" t="s">
        <v>207</v>
      </c>
      <c r="P13" s="58" t="s">
        <v>208</v>
      </c>
    </row>
    <row r="14" spans="1:16" ht="12.75" customHeight="1" thickBot="1" x14ac:dyDescent="0.25">
      <c r="A14" s="46" t="str">
        <f t="shared" si="0"/>
        <v>IBVS 2159 </v>
      </c>
      <c r="B14" s="17" t="str">
        <f t="shared" si="1"/>
        <v>I</v>
      </c>
      <c r="C14" s="46">
        <f t="shared" si="2"/>
        <v>44845.389799999997</v>
      </c>
      <c r="D14" s="14" t="str">
        <f t="shared" si="3"/>
        <v>vis</v>
      </c>
      <c r="E14" s="54">
        <f>VLOOKUP(C14,Active!C$21:E$973,3,FALSE)</f>
        <v>4621.1213192397754</v>
      </c>
      <c r="F14" s="17" t="s">
        <v>36</v>
      </c>
      <c r="G14" s="14" t="str">
        <f t="shared" si="4"/>
        <v>44845.3898</v>
      </c>
      <c r="H14" s="46">
        <f t="shared" si="5"/>
        <v>-9802</v>
      </c>
      <c r="I14" s="55" t="s">
        <v>212</v>
      </c>
      <c r="J14" s="56" t="s">
        <v>213</v>
      </c>
      <c r="K14" s="55">
        <v>-9802</v>
      </c>
      <c r="L14" s="55" t="s">
        <v>214</v>
      </c>
      <c r="M14" s="56" t="s">
        <v>180</v>
      </c>
      <c r="N14" s="56" t="s">
        <v>181</v>
      </c>
      <c r="O14" s="57" t="s">
        <v>215</v>
      </c>
      <c r="P14" s="58" t="s">
        <v>216</v>
      </c>
    </row>
    <row r="15" spans="1:16" ht="12.75" customHeight="1" thickBot="1" x14ac:dyDescent="0.25">
      <c r="A15" s="46" t="str">
        <f t="shared" si="0"/>
        <v> VSSC 63.21 </v>
      </c>
      <c r="B15" s="17" t="str">
        <f t="shared" si="1"/>
        <v>I</v>
      </c>
      <c r="C15" s="46">
        <f t="shared" si="2"/>
        <v>46292.483999999997</v>
      </c>
      <c r="D15" s="14" t="str">
        <f t="shared" si="3"/>
        <v>vis</v>
      </c>
      <c r="E15" s="54">
        <f>VLOOKUP(C15,Active!C$21:E$973,3,FALSE)</f>
        <v>6474.006083903836</v>
      </c>
      <c r="F15" s="17" t="s">
        <v>36</v>
      </c>
      <c r="G15" s="14" t="str">
        <f t="shared" si="4"/>
        <v>46292.484</v>
      </c>
      <c r="H15" s="46">
        <f t="shared" si="5"/>
        <v>-7949</v>
      </c>
      <c r="I15" s="55" t="s">
        <v>217</v>
      </c>
      <c r="J15" s="56" t="s">
        <v>218</v>
      </c>
      <c r="K15" s="55">
        <v>-7949</v>
      </c>
      <c r="L15" s="55" t="s">
        <v>219</v>
      </c>
      <c r="M15" s="56" t="s">
        <v>74</v>
      </c>
      <c r="N15" s="56"/>
      <c r="O15" s="57" t="s">
        <v>220</v>
      </c>
      <c r="P15" s="57" t="s">
        <v>221</v>
      </c>
    </row>
    <row r="16" spans="1:16" ht="12.75" customHeight="1" thickBot="1" x14ac:dyDescent="0.25">
      <c r="A16" s="46" t="str">
        <f t="shared" si="0"/>
        <v> BBS 81 </v>
      </c>
      <c r="B16" s="17" t="str">
        <f t="shared" si="1"/>
        <v>I</v>
      </c>
      <c r="C16" s="46">
        <f t="shared" si="2"/>
        <v>46346.343999999997</v>
      </c>
      <c r="D16" s="14" t="str">
        <f t="shared" si="3"/>
        <v>vis</v>
      </c>
      <c r="E16" s="54">
        <f>VLOOKUP(C16,Active!C$21:E$973,3,FALSE)</f>
        <v>6542.9693714526411</v>
      </c>
      <c r="F16" s="17" t="s">
        <v>36</v>
      </c>
      <c r="G16" s="14" t="str">
        <f t="shared" si="4"/>
        <v>46346.344</v>
      </c>
      <c r="H16" s="46">
        <f t="shared" si="5"/>
        <v>-7880</v>
      </c>
      <c r="I16" s="55" t="s">
        <v>222</v>
      </c>
      <c r="J16" s="56" t="s">
        <v>223</v>
      </c>
      <c r="K16" s="55">
        <v>-7880</v>
      </c>
      <c r="L16" s="55" t="s">
        <v>224</v>
      </c>
      <c r="M16" s="56" t="s">
        <v>74</v>
      </c>
      <c r="N16" s="56"/>
      <c r="O16" s="57" t="s">
        <v>225</v>
      </c>
      <c r="P16" s="57" t="s">
        <v>226</v>
      </c>
    </row>
    <row r="17" spans="1:16" ht="12.75" customHeight="1" thickBot="1" x14ac:dyDescent="0.25">
      <c r="A17" s="46" t="str">
        <f t="shared" si="0"/>
        <v> BBS 81 </v>
      </c>
      <c r="B17" s="17" t="str">
        <f t="shared" si="1"/>
        <v>I</v>
      </c>
      <c r="C17" s="46">
        <f t="shared" si="2"/>
        <v>46350.264000000003</v>
      </c>
      <c r="D17" s="14" t="str">
        <f t="shared" si="3"/>
        <v>vis</v>
      </c>
      <c r="E17" s="54">
        <f>VLOOKUP(C17,Active!C$21:E$973,3,FALSE)</f>
        <v>6547.9886081253426</v>
      </c>
      <c r="F17" s="17" t="s">
        <v>36</v>
      </c>
      <c r="G17" s="14" t="str">
        <f t="shared" si="4"/>
        <v>46350.264</v>
      </c>
      <c r="H17" s="46">
        <f t="shared" si="5"/>
        <v>-7875</v>
      </c>
      <c r="I17" s="55" t="s">
        <v>227</v>
      </c>
      <c r="J17" s="56" t="s">
        <v>228</v>
      </c>
      <c r="K17" s="55">
        <v>-7875</v>
      </c>
      <c r="L17" s="55" t="s">
        <v>229</v>
      </c>
      <c r="M17" s="56" t="s">
        <v>74</v>
      </c>
      <c r="N17" s="56"/>
      <c r="O17" s="57" t="s">
        <v>225</v>
      </c>
      <c r="P17" s="57" t="s">
        <v>226</v>
      </c>
    </row>
    <row r="18" spans="1:16" ht="12.75" customHeight="1" thickBot="1" x14ac:dyDescent="0.25">
      <c r="A18" s="46" t="str">
        <f t="shared" si="0"/>
        <v> BBS 81 </v>
      </c>
      <c r="B18" s="17" t="str">
        <f t="shared" si="1"/>
        <v>I</v>
      </c>
      <c r="C18" s="46">
        <f t="shared" si="2"/>
        <v>46627.523999999998</v>
      </c>
      <c r="D18" s="14" t="str">
        <f t="shared" si="3"/>
        <v>vis</v>
      </c>
      <c r="E18" s="54">
        <f>VLOOKUP(C18,Active!C$21:E$973,3,FALSE)</f>
        <v>6902.9971693169691</v>
      </c>
      <c r="F18" s="17" t="s">
        <v>36</v>
      </c>
      <c r="G18" s="14" t="str">
        <f t="shared" si="4"/>
        <v>46627.524</v>
      </c>
      <c r="H18" s="46">
        <f t="shared" si="5"/>
        <v>-7520</v>
      </c>
      <c r="I18" s="55" t="s">
        <v>230</v>
      </c>
      <c r="J18" s="56" t="s">
        <v>231</v>
      </c>
      <c r="K18" s="55">
        <v>-7520</v>
      </c>
      <c r="L18" s="55" t="s">
        <v>232</v>
      </c>
      <c r="M18" s="56" t="s">
        <v>74</v>
      </c>
      <c r="N18" s="56"/>
      <c r="O18" s="57" t="s">
        <v>225</v>
      </c>
      <c r="P18" s="57" t="s">
        <v>226</v>
      </c>
    </row>
    <row r="19" spans="1:16" ht="12.75" customHeight="1" thickBot="1" x14ac:dyDescent="0.25">
      <c r="A19" s="46" t="str">
        <f t="shared" si="0"/>
        <v>BAVM 46 </v>
      </c>
      <c r="B19" s="17" t="str">
        <f t="shared" si="1"/>
        <v>I</v>
      </c>
      <c r="C19" s="46">
        <f t="shared" si="2"/>
        <v>46645.491000000002</v>
      </c>
      <c r="D19" s="14" t="str">
        <f t="shared" si="3"/>
        <v>vis</v>
      </c>
      <c r="E19" s="54">
        <f>VLOOKUP(C19,Active!C$21:E$973,3,FALSE)</f>
        <v>6926.0024308726624</v>
      </c>
      <c r="F19" s="17" t="s">
        <v>36</v>
      </c>
      <c r="G19" s="14" t="str">
        <f t="shared" si="4"/>
        <v>46645.491</v>
      </c>
      <c r="H19" s="46">
        <f t="shared" si="5"/>
        <v>-7497</v>
      </c>
      <c r="I19" s="55" t="s">
        <v>233</v>
      </c>
      <c r="J19" s="56" t="s">
        <v>234</v>
      </c>
      <c r="K19" s="55">
        <v>-7497</v>
      </c>
      <c r="L19" s="55" t="s">
        <v>235</v>
      </c>
      <c r="M19" s="56" t="s">
        <v>74</v>
      </c>
      <c r="N19" s="56"/>
      <c r="O19" s="57" t="s">
        <v>225</v>
      </c>
      <c r="P19" s="58" t="s">
        <v>236</v>
      </c>
    </row>
    <row r="20" spans="1:16" ht="12.75" customHeight="1" thickBot="1" x14ac:dyDescent="0.25">
      <c r="A20" s="46" t="str">
        <f t="shared" si="0"/>
        <v> VSSC 66.34 </v>
      </c>
      <c r="B20" s="17" t="str">
        <f t="shared" si="1"/>
        <v>I</v>
      </c>
      <c r="C20" s="46">
        <f t="shared" si="2"/>
        <v>46677.512000000002</v>
      </c>
      <c r="D20" s="14" t="str">
        <f t="shared" si="3"/>
        <v>vis</v>
      </c>
      <c r="E20" s="54">
        <f>VLOOKUP(C20,Active!C$21:E$973,3,FALSE)</f>
        <v>6967.0026802339753</v>
      </c>
      <c r="F20" s="17" t="s">
        <v>36</v>
      </c>
      <c r="G20" s="14" t="str">
        <f t="shared" si="4"/>
        <v>46677.512</v>
      </c>
      <c r="H20" s="46">
        <f t="shared" si="5"/>
        <v>-7456</v>
      </c>
      <c r="I20" s="55" t="s">
        <v>237</v>
      </c>
      <c r="J20" s="56" t="s">
        <v>238</v>
      </c>
      <c r="K20" s="55">
        <v>-7456</v>
      </c>
      <c r="L20" s="55" t="s">
        <v>239</v>
      </c>
      <c r="M20" s="56" t="s">
        <v>74</v>
      </c>
      <c r="N20" s="56"/>
      <c r="O20" s="57" t="s">
        <v>220</v>
      </c>
      <c r="P20" s="57" t="s">
        <v>240</v>
      </c>
    </row>
    <row r="21" spans="1:16" ht="12.75" customHeight="1" thickBot="1" x14ac:dyDescent="0.25">
      <c r="A21" s="46" t="str">
        <f t="shared" si="0"/>
        <v> BBS 81 </v>
      </c>
      <c r="B21" s="17" t="str">
        <f t="shared" si="1"/>
        <v>II</v>
      </c>
      <c r="C21" s="46">
        <f t="shared" si="2"/>
        <v>46679.434999999998</v>
      </c>
      <c r="D21" s="14" t="str">
        <f t="shared" si="3"/>
        <v>vis</v>
      </c>
      <c r="E21" s="54">
        <f>VLOOKUP(C21,Active!C$21:E$973,3,FALSE)</f>
        <v>6969.4649231221301</v>
      </c>
      <c r="F21" s="17" t="s">
        <v>36</v>
      </c>
      <c r="G21" s="14" t="str">
        <f t="shared" si="4"/>
        <v>46679.435</v>
      </c>
      <c r="H21" s="46">
        <f t="shared" si="5"/>
        <v>-7453.5</v>
      </c>
      <c r="I21" s="55" t="s">
        <v>241</v>
      </c>
      <c r="J21" s="56" t="s">
        <v>242</v>
      </c>
      <c r="K21" s="55">
        <v>-7453.5</v>
      </c>
      <c r="L21" s="55" t="s">
        <v>243</v>
      </c>
      <c r="M21" s="56" t="s">
        <v>74</v>
      </c>
      <c r="N21" s="56"/>
      <c r="O21" s="57" t="s">
        <v>225</v>
      </c>
      <c r="P21" s="57" t="s">
        <v>226</v>
      </c>
    </row>
    <row r="22" spans="1:16" ht="12.75" customHeight="1" thickBot="1" x14ac:dyDescent="0.25">
      <c r="A22" s="46" t="str">
        <f t="shared" si="0"/>
        <v> VSSC 66.34 </v>
      </c>
      <c r="B22" s="17" t="str">
        <f t="shared" si="1"/>
        <v>I</v>
      </c>
      <c r="C22" s="46">
        <f t="shared" si="2"/>
        <v>46688.468000000001</v>
      </c>
      <c r="D22" s="14" t="str">
        <f t="shared" si="3"/>
        <v>vis</v>
      </c>
      <c r="E22" s="54">
        <f>VLOOKUP(C22,Active!C$21:E$973,3,FALSE)</f>
        <v>6981.0309345671458</v>
      </c>
      <c r="F22" s="17" t="s">
        <v>36</v>
      </c>
      <c r="G22" s="14" t="str">
        <f t="shared" si="4"/>
        <v>46688.468</v>
      </c>
      <c r="H22" s="46">
        <f t="shared" si="5"/>
        <v>-7442</v>
      </c>
      <c r="I22" s="55" t="s">
        <v>244</v>
      </c>
      <c r="J22" s="56" t="s">
        <v>245</v>
      </c>
      <c r="K22" s="55">
        <v>-7442</v>
      </c>
      <c r="L22" s="55" t="s">
        <v>246</v>
      </c>
      <c r="M22" s="56" t="s">
        <v>74</v>
      </c>
      <c r="N22" s="56"/>
      <c r="O22" s="57" t="s">
        <v>220</v>
      </c>
      <c r="P22" s="57" t="s">
        <v>240</v>
      </c>
    </row>
    <row r="23" spans="1:16" ht="12.75" customHeight="1" thickBot="1" x14ac:dyDescent="0.25">
      <c r="A23" s="46" t="str">
        <f t="shared" si="0"/>
        <v>BAVM 50 </v>
      </c>
      <c r="B23" s="17" t="str">
        <f t="shared" si="1"/>
        <v>I</v>
      </c>
      <c r="C23" s="46">
        <f t="shared" si="2"/>
        <v>47030.512699999999</v>
      </c>
      <c r="D23" s="14" t="str">
        <f t="shared" si="3"/>
        <v>vis</v>
      </c>
      <c r="E23" s="54">
        <f>VLOOKUP(C23,Active!C$21:E$973,3,FALSE)</f>
        <v>7418.9909605724233</v>
      </c>
      <c r="F23" s="17" t="s">
        <v>36</v>
      </c>
      <c r="G23" s="14" t="str">
        <f t="shared" si="4"/>
        <v>47030.5127</v>
      </c>
      <c r="H23" s="46">
        <f t="shared" si="5"/>
        <v>-7004</v>
      </c>
      <c r="I23" s="55" t="s">
        <v>247</v>
      </c>
      <c r="J23" s="56" t="s">
        <v>248</v>
      </c>
      <c r="K23" s="55">
        <v>-7004</v>
      </c>
      <c r="L23" s="55" t="s">
        <v>249</v>
      </c>
      <c r="M23" s="56" t="s">
        <v>180</v>
      </c>
      <c r="N23" s="56" t="s">
        <v>36</v>
      </c>
      <c r="O23" s="57" t="s">
        <v>250</v>
      </c>
      <c r="P23" s="58" t="s">
        <v>251</v>
      </c>
    </row>
    <row r="24" spans="1:16" ht="12.75" customHeight="1" thickBot="1" x14ac:dyDescent="0.25">
      <c r="A24" s="46" t="str">
        <f t="shared" si="0"/>
        <v>BAVM 56 </v>
      </c>
      <c r="B24" s="17" t="str">
        <f t="shared" si="1"/>
        <v>I</v>
      </c>
      <c r="C24" s="46">
        <f t="shared" si="2"/>
        <v>47862.270299999996</v>
      </c>
      <c r="D24" s="14" t="str">
        <f t="shared" si="3"/>
        <v>vis</v>
      </c>
      <c r="E24" s="54">
        <f>VLOOKUP(C24,Active!C$21:E$973,3,FALSE)</f>
        <v>8483.9879627949049</v>
      </c>
      <c r="F24" s="17" t="s">
        <v>36</v>
      </c>
      <c r="G24" s="14" t="str">
        <f t="shared" si="4"/>
        <v>47862.2703</v>
      </c>
      <c r="H24" s="46">
        <f t="shared" si="5"/>
        <v>-5939</v>
      </c>
      <c r="I24" s="55" t="s">
        <v>266</v>
      </c>
      <c r="J24" s="56" t="s">
        <v>267</v>
      </c>
      <c r="K24" s="55">
        <v>-5939</v>
      </c>
      <c r="L24" s="55" t="s">
        <v>268</v>
      </c>
      <c r="M24" s="56" t="s">
        <v>180</v>
      </c>
      <c r="N24" s="56" t="s">
        <v>269</v>
      </c>
      <c r="O24" s="57" t="s">
        <v>270</v>
      </c>
      <c r="P24" s="58" t="s">
        <v>271</v>
      </c>
    </row>
    <row r="25" spans="1:16" ht="12.75" customHeight="1" thickBot="1" x14ac:dyDescent="0.25">
      <c r="A25" s="46" t="str">
        <f t="shared" si="0"/>
        <v>BAVM 60 </v>
      </c>
      <c r="B25" s="17" t="str">
        <f t="shared" si="1"/>
        <v>I</v>
      </c>
      <c r="C25" s="46">
        <f t="shared" si="2"/>
        <v>48525.330999999998</v>
      </c>
      <c r="D25" s="14" t="str">
        <f t="shared" si="3"/>
        <v>vis</v>
      </c>
      <c r="E25" s="54">
        <f>VLOOKUP(C25,Active!C$21:E$973,3,FALSE)</f>
        <v>9332.9824989332519</v>
      </c>
      <c r="F25" s="17" t="s">
        <v>36</v>
      </c>
      <c r="G25" s="14" t="str">
        <f t="shared" si="4"/>
        <v>48525.331</v>
      </c>
      <c r="H25" s="46">
        <f t="shared" si="5"/>
        <v>-5090</v>
      </c>
      <c r="I25" s="55" t="s">
        <v>272</v>
      </c>
      <c r="J25" s="56" t="s">
        <v>273</v>
      </c>
      <c r="K25" s="55">
        <v>-5090</v>
      </c>
      <c r="L25" s="55" t="s">
        <v>274</v>
      </c>
      <c r="M25" s="56" t="s">
        <v>180</v>
      </c>
      <c r="N25" s="56" t="s">
        <v>275</v>
      </c>
      <c r="O25" s="57" t="s">
        <v>250</v>
      </c>
      <c r="P25" s="58" t="s">
        <v>276</v>
      </c>
    </row>
    <row r="26" spans="1:16" ht="12.75" customHeight="1" thickBot="1" x14ac:dyDescent="0.25">
      <c r="A26" s="46" t="str">
        <f t="shared" si="0"/>
        <v>BAVM 99 </v>
      </c>
      <c r="B26" s="17" t="str">
        <f t="shared" si="1"/>
        <v>I</v>
      </c>
      <c r="C26" s="46">
        <f t="shared" si="2"/>
        <v>50394.243499999997</v>
      </c>
      <c r="D26" s="14" t="str">
        <f t="shared" si="3"/>
        <v>vis</v>
      </c>
      <c r="E26" s="54">
        <f>VLOOKUP(C26,Active!C$21:E$973,3,FALSE)</f>
        <v>11725.970804559947</v>
      </c>
      <c r="F26" s="17" t="s">
        <v>36</v>
      </c>
      <c r="G26" s="14" t="str">
        <f t="shared" si="4"/>
        <v>50394.2435</v>
      </c>
      <c r="H26" s="46">
        <f t="shared" si="5"/>
        <v>-2697</v>
      </c>
      <c r="I26" s="55" t="s">
        <v>280</v>
      </c>
      <c r="J26" s="56" t="s">
        <v>281</v>
      </c>
      <c r="K26" s="55">
        <v>-2697</v>
      </c>
      <c r="L26" s="55" t="s">
        <v>282</v>
      </c>
      <c r="M26" s="56" t="s">
        <v>180</v>
      </c>
      <c r="N26" s="56" t="s">
        <v>283</v>
      </c>
      <c r="O26" s="57" t="s">
        <v>284</v>
      </c>
      <c r="P26" s="58" t="s">
        <v>285</v>
      </c>
    </row>
    <row r="27" spans="1:16" ht="12.75" customHeight="1" thickBot="1" x14ac:dyDescent="0.25">
      <c r="A27" s="46" t="str">
        <f t="shared" si="0"/>
        <v>BAVM 111 </v>
      </c>
      <c r="B27" s="17" t="str">
        <f t="shared" si="1"/>
        <v>I</v>
      </c>
      <c r="C27" s="46">
        <f t="shared" si="2"/>
        <v>50754.278299999998</v>
      </c>
      <c r="D27" s="14" t="str">
        <f t="shared" si="3"/>
        <v>PE</v>
      </c>
      <c r="E27" s="54">
        <f>VLOOKUP(C27,Active!C$21:E$973,3,FALSE)</f>
        <v>12186.965669765596</v>
      </c>
      <c r="F27" s="17" t="str">
        <f>LEFT(M27,1)</f>
        <v>E</v>
      </c>
      <c r="G27" s="14" t="str">
        <f t="shared" si="4"/>
        <v>50754.2783</v>
      </c>
      <c r="H27" s="46">
        <f t="shared" si="5"/>
        <v>-2236</v>
      </c>
      <c r="I27" s="55" t="s">
        <v>292</v>
      </c>
      <c r="J27" s="56" t="s">
        <v>293</v>
      </c>
      <c r="K27" s="55">
        <v>-2236</v>
      </c>
      <c r="L27" s="55" t="s">
        <v>294</v>
      </c>
      <c r="M27" s="56" t="s">
        <v>180</v>
      </c>
      <c r="N27" s="56" t="s">
        <v>283</v>
      </c>
      <c r="O27" s="57" t="s">
        <v>284</v>
      </c>
      <c r="P27" s="58" t="s">
        <v>295</v>
      </c>
    </row>
    <row r="28" spans="1:16" ht="12.75" customHeight="1" thickBot="1" x14ac:dyDescent="0.25">
      <c r="A28" s="46" t="str">
        <f t="shared" si="0"/>
        <v>BAVM 152 </v>
      </c>
      <c r="B28" s="17" t="str">
        <f t="shared" si="1"/>
        <v>I</v>
      </c>
      <c r="C28" s="46">
        <f t="shared" si="2"/>
        <v>51780.502699999997</v>
      </c>
      <c r="D28" s="14" t="str">
        <f t="shared" si="3"/>
        <v>PE</v>
      </c>
      <c r="E28" s="54">
        <f>VLOOKUP(C28,Active!C$21:E$973,3,FALSE)</f>
        <v>13500.961369483359</v>
      </c>
      <c r="F28" s="17" t="str">
        <f>LEFT(M28,1)</f>
        <v>E</v>
      </c>
      <c r="G28" s="14" t="str">
        <f t="shared" si="4"/>
        <v>51780.5027</v>
      </c>
      <c r="H28" s="46">
        <f t="shared" si="5"/>
        <v>-922</v>
      </c>
      <c r="I28" s="55" t="s">
        <v>305</v>
      </c>
      <c r="J28" s="56" t="s">
        <v>306</v>
      </c>
      <c r="K28" s="55">
        <v>-922</v>
      </c>
      <c r="L28" s="55" t="s">
        <v>307</v>
      </c>
      <c r="M28" s="56" t="s">
        <v>180</v>
      </c>
      <c r="N28" s="56" t="s">
        <v>308</v>
      </c>
      <c r="O28" s="57" t="s">
        <v>284</v>
      </c>
      <c r="P28" s="58" t="s">
        <v>309</v>
      </c>
    </row>
    <row r="29" spans="1:16" ht="12.75" customHeight="1" thickBot="1" x14ac:dyDescent="0.25">
      <c r="A29" s="46" t="str">
        <f t="shared" si="0"/>
        <v>IBVS 5843 </v>
      </c>
      <c r="B29" s="17" t="str">
        <f t="shared" si="1"/>
        <v>I</v>
      </c>
      <c r="C29" s="46">
        <f t="shared" si="2"/>
        <v>53259.703300000001</v>
      </c>
      <c r="D29" s="14" t="str">
        <f t="shared" si="3"/>
        <v>vis</v>
      </c>
      <c r="E29" s="54">
        <f>VLOOKUP(C29,Active!C$21:E$973,3,FALSE)</f>
        <v>15394.95573116482</v>
      </c>
      <c r="F29" s="17" t="s">
        <v>36</v>
      </c>
      <c r="G29" s="14" t="str">
        <f t="shared" si="4"/>
        <v>53259.7033</v>
      </c>
      <c r="H29" s="46">
        <f t="shared" si="5"/>
        <v>972</v>
      </c>
      <c r="I29" s="55" t="s">
        <v>330</v>
      </c>
      <c r="J29" s="56" t="s">
        <v>331</v>
      </c>
      <c r="K29" s="55" t="s">
        <v>332</v>
      </c>
      <c r="L29" s="55" t="s">
        <v>333</v>
      </c>
      <c r="M29" s="56" t="s">
        <v>289</v>
      </c>
      <c r="N29" s="56" t="s">
        <v>308</v>
      </c>
      <c r="O29" s="57" t="s">
        <v>334</v>
      </c>
      <c r="P29" s="58" t="s">
        <v>335</v>
      </c>
    </row>
    <row r="30" spans="1:16" ht="12.75" customHeight="1" thickBot="1" x14ac:dyDescent="0.25">
      <c r="A30" s="46" t="str">
        <f t="shared" si="0"/>
        <v>IBVS 5843 </v>
      </c>
      <c r="B30" s="17" t="str">
        <f t="shared" si="1"/>
        <v>I</v>
      </c>
      <c r="C30" s="46">
        <f t="shared" si="2"/>
        <v>53281.564599999998</v>
      </c>
      <c r="D30" s="14" t="str">
        <f t="shared" si="3"/>
        <v>vis</v>
      </c>
      <c r="E30" s="54">
        <f>VLOOKUP(C30,Active!C$21:E$973,3,FALSE)</f>
        <v>15422.947322662973</v>
      </c>
      <c r="F30" s="17" t="s">
        <v>36</v>
      </c>
      <c r="G30" s="14" t="str">
        <f t="shared" si="4"/>
        <v>53281.5646</v>
      </c>
      <c r="H30" s="46">
        <f t="shared" si="5"/>
        <v>1000</v>
      </c>
      <c r="I30" s="55" t="s">
        <v>336</v>
      </c>
      <c r="J30" s="56" t="s">
        <v>337</v>
      </c>
      <c r="K30" s="55" t="s">
        <v>338</v>
      </c>
      <c r="L30" s="55" t="s">
        <v>339</v>
      </c>
      <c r="M30" s="56" t="s">
        <v>289</v>
      </c>
      <c r="N30" s="56" t="s">
        <v>308</v>
      </c>
      <c r="O30" s="57" t="s">
        <v>334</v>
      </c>
      <c r="P30" s="58" t="s">
        <v>335</v>
      </c>
    </row>
    <row r="31" spans="1:16" ht="12.75" customHeight="1" thickBot="1" x14ac:dyDescent="0.25">
      <c r="A31" s="46" t="str">
        <f t="shared" si="0"/>
        <v>BAVM 183 </v>
      </c>
      <c r="B31" s="17" t="str">
        <f t="shared" si="1"/>
        <v>I</v>
      </c>
      <c r="C31" s="46">
        <f t="shared" si="2"/>
        <v>53991.492299999998</v>
      </c>
      <c r="D31" s="14" t="str">
        <f t="shared" si="3"/>
        <v>vis</v>
      </c>
      <c r="E31" s="54">
        <f>VLOOKUP(C31,Active!C$21:E$973,3,FALSE)</f>
        <v>16331.951186642938</v>
      </c>
      <c r="F31" s="17" t="s">
        <v>36</v>
      </c>
      <c r="G31" s="14" t="str">
        <f t="shared" si="4"/>
        <v>53991.4923</v>
      </c>
      <c r="H31" s="46">
        <f t="shared" si="5"/>
        <v>1909</v>
      </c>
      <c r="I31" s="55" t="s">
        <v>346</v>
      </c>
      <c r="J31" s="56" t="s">
        <v>347</v>
      </c>
      <c r="K31" s="55" t="s">
        <v>348</v>
      </c>
      <c r="L31" s="55" t="s">
        <v>349</v>
      </c>
      <c r="M31" s="56" t="s">
        <v>289</v>
      </c>
      <c r="N31" s="56" t="s">
        <v>308</v>
      </c>
      <c r="O31" s="57" t="s">
        <v>250</v>
      </c>
      <c r="P31" s="58" t="s">
        <v>350</v>
      </c>
    </row>
    <row r="32" spans="1:16" ht="12.75" customHeight="1" thickBot="1" x14ac:dyDescent="0.25">
      <c r="A32" s="46" t="str">
        <f t="shared" si="0"/>
        <v>IBVS 6011 </v>
      </c>
      <c r="B32" s="17" t="str">
        <f t="shared" si="1"/>
        <v>I</v>
      </c>
      <c r="C32" s="46">
        <f t="shared" si="2"/>
        <v>55862.739500000003</v>
      </c>
      <c r="D32" s="14" t="str">
        <f t="shared" si="3"/>
        <v>vis</v>
      </c>
      <c r="E32" s="54">
        <f>VLOOKUP(C32,Active!C$21:E$973,3,FALSE)</f>
        <v>18727.92888305019</v>
      </c>
      <c r="F32" s="17" t="s">
        <v>36</v>
      </c>
      <c r="G32" s="14" t="str">
        <f t="shared" si="4"/>
        <v>55862.7395</v>
      </c>
      <c r="H32" s="46">
        <f t="shared" si="5"/>
        <v>4305</v>
      </c>
      <c r="I32" s="55" t="s">
        <v>373</v>
      </c>
      <c r="J32" s="56" t="s">
        <v>374</v>
      </c>
      <c r="K32" s="55" t="s">
        <v>375</v>
      </c>
      <c r="L32" s="55" t="s">
        <v>376</v>
      </c>
      <c r="M32" s="56" t="s">
        <v>289</v>
      </c>
      <c r="N32" s="56" t="s">
        <v>36</v>
      </c>
      <c r="O32" s="57" t="s">
        <v>377</v>
      </c>
      <c r="P32" s="58" t="s">
        <v>378</v>
      </c>
    </row>
    <row r="33" spans="1:16" ht="12.75" customHeight="1" thickBot="1" x14ac:dyDescent="0.25">
      <c r="A33" s="46" t="str">
        <f t="shared" si="0"/>
        <v> AN 242.211 </v>
      </c>
      <c r="B33" s="17" t="str">
        <f t="shared" si="1"/>
        <v>II</v>
      </c>
      <c r="C33" s="46">
        <f t="shared" si="2"/>
        <v>19675.843000000001</v>
      </c>
      <c r="D33" s="14" t="str">
        <f t="shared" si="3"/>
        <v>vis</v>
      </c>
      <c r="E33" s="54">
        <f>VLOOKUP(C33,Active!C$21:E$973,3,FALSE)</f>
        <v>-27606.407337304543</v>
      </c>
      <c r="F33" s="17" t="s">
        <v>36</v>
      </c>
      <c r="G33" s="14" t="str">
        <f t="shared" si="4"/>
        <v>19675.843</v>
      </c>
      <c r="H33" s="46">
        <f t="shared" si="5"/>
        <v>-42029.5</v>
      </c>
      <c r="I33" s="55" t="s">
        <v>71</v>
      </c>
      <c r="J33" s="56" t="s">
        <v>72</v>
      </c>
      <c r="K33" s="55">
        <v>-42029.5</v>
      </c>
      <c r="L33" s="55" t="s">
        <v>73</v>
      </c>
      <c r="M33" s="56" t="s">
        <v>74</v>
      </c>
      <c r="N33" s="56"/>
      <c r="O33" s="57" t="s">
        <v>75</v>
      </c>
      <c r="P33" s="57" t="s">
        <v>76</v>
      </c>
    </row>
    <row r="34" spans="1:16" ht="12.75" customHeight="1" thickBot="1" x14ac:dyDescent="0.25">
      <c r="A34" s="46" t="str">
        <f t="shared" si="0"/>
        <v> TTAO 1.43 </v>
      </c>
      <c r="B34" s="17" t="str">
        <f t="shared" si="1"/>
        <v>II</v>
      </c>
      <c r="C34" s="46">
        <f t="shared" si="2"/>
        <v>23640.26</v>
      </c>
      <c r="D34" s="14" t="str">
        <f t="shared" si="3"/>
        <v>vis</v>
      </c>
      <c r="E34" s="54">
        <f>VLOOKUP(C34,Active!C$21:E$973,3,FALSE)</f>
        <v>-22530.298359689128</v>
      </c>
      <c r="F34" s="17" t="s">
        <v>36</v>
      </c>
      <c r="G34" s="14" t="str">
        <f t="shared" si="4"/>
        <v>23640.26</v>
      </c>
      <c r="H34" s="46">
        <f t="shared" si="5"/>
        <v>-36953.5</v>
      </c>
      <c r="I34" s="55" t="s">
        <v>77</v>
      </c>
      <c r="J34" s="56" t="s">
        <v>78</v>
      </c>
      <c r="K34" s="55">
        <v>-36953.5</v>
      </c>
      <c r="L34" s="55" t="s">
        <v>79</v>
      </c>
      <c r="M34" s="56" t="s">
        <v>74</v>
      </c>
      <c r="N34" s="56"/>
      <c r="O34" s="57" t="s">
        <v>80</v>
      </c>
      <c r="P34" s="57" t="s">
        <v>81</v>
      </c>
    </row>
    <row r="35" spans="1:16" ht="12.75" customHeight="1" thickBot="1" x14ac:dyDescent="0.25">
      <c r="A35" s="46" t="str">
        <f t="shared" si="0"/>
        <v> TTAO 1.43 </v>
      </c>
      <c r="B35" s="17" t="str">
        <f t="shared" si="1"/>
        <v>II</v>
      </c>
      <c r="C35" s="46">
        <f t="shared" si="2"/>
        <v>23643.39</v>
      </c>
      <c r="D35" s="14" t="str">
        <f t="shared" si="3"/>
        <v>vis</v>
      </c>
      <c r="E35" s="54">
        <f>VLOOKUP(C35,Active!C$21:E$973,3,FALSE)</f>
        <v>-22526.290652856082</v>
      </c>
      <c r="F35" s="17" t="s">
        <v>36</v>
      </c>
      <c r="G35" s="14" t="str">
        <f t="shared" si="4"/>
        <v>23643.39</v>
      </c>
      <c r="H35" s="46">
        <f t="shared" si="5"/>
        <v>-36949.5</v>
      </c>
      <c r="I35" s="55" t="s">
        <v>82</v>
      </c>
      <c r="J35" s="56" t="s">
        <v>83</v>
      </c>
      <c r="K35" s="55">
        <v>-36949.5</v>
      </c>
      <c r="L35" s="55" t="s">
        <v>84</v>
      </c>
      <c r="M35" s="56" t="s">
        <v>74</v>
      </c>
      <c r="N35" s="56"/>
      <c r="O35" s="57" t="s">
        <v>80</v>
      </c>
      <c r="P35" s="57" t="s">
        <v>81</v>
      </c>
    </row>
    <row r="36" spans="1:16" ht="12.75" customHeight="1" thickBot="1" x14ac:dyDescent="0.25">
      <c r="A36" s="46" t="str">
        <f t="shared" si="0"/>
        <v> TTAO 1.43 </v>
      </c>
      <c r="B36" s="17" t="str">
        <f t="shared" si="1"/>
        <v>II</v>
      </c>
      <c r="C36" s="46">
        <f t="shared" si="2"/>
        <v>23644.2</v>
      </c>
      <c r="D36" s="14" t="str">
        <f t="shared" si="3"/>
        <v>vis</v>
      </c>
      <c r="E36" s="54">
        <f>VLOOKUP(C36,Active!C$21:E$973,3,FALSE)</f>
        <v>-22525.253514666059</v>
      </c>
      <c r="F36" s="17" t="s">
        <v>36</v>
      </c>
      <c r="G36" s="14" t="str">
        <f t="shared" si="4"/>
        <v>23644.20</v>
      </c>
      <c r="H36" s="46">
        <f t="shared" si="5"/>
        <v>-36948.5</v>
      </c>
      <c r="I36" s="55" t="s">
        <v>85</v>
      </c>
      <c r="J36" s="56" t="s">
        <v>86</v>
      </c>
      <c r="K36" s="55">
        <v>-36948.5</v>
      </c>
      <c r="L36" s="55" t="s">
        <v>87</v>
      </c>
      <c r="M36" s="56" t="s">
        <v>74</v>
      </c>
      <c r="N36" s="56"/>
      <c r="O36" s="57" t="s">
        <v>80</v>
      </c>
      <c r="P36" s="57" t="s">
        <v>81</v>
      </c>
    </row>
    <row r="37" spans="1:16" ht="12.75" customHeight="1" thickBot="1" x14ac:dyDescent="0.25">
      <c r="A37" s="46" t="str">
        <f t="shared" si="0"/>
        <v> TTAO 1.43 </v>
      </c>
      <c r="B37" s="17" t="str">
        <f t="shared" si="1"/>
        <v>II</v>
      </c>
      <c r="C37" s="46">
        <f t="shared" si="2"/>
        <v>23651.23</v>
      </c>
      <c r="D37" s="14" t="str">
        <f t="shared" si="3"/>
        <v>vis</v>
      </c>
      <c r="E37" s="54">
        <f>VLOOKUP(C37,Active!C$21:E$973,3,FALSE)</f>
        <v>-22516.252179510691</v>
      </c>
      <c r="F37" s="17" t="s">
        <v>36</v>
      </c>
      <c r="G37" s="14" t="str">
        <f t="shared" si="4"/>
        <v>23651.23</v>
      </c>
      <c r="H37" s="46">
        <f t="shared" si="5"/>
        <v>-36939.5</v>
      </c>
      <c r="I37" s="55" t="s">
        <v>88</v>
      </c>
      <c r="J37" s="56" t="s">
        <v>89</v>
      </c>
      <c r="K37" s="55">
        <v>-36939.5</v>
      </c>
      <c r="L37" s="55" t="s">
        <v>87</v>
      </c>
      <c r="M37" s="56" t="s">
        <v>74</v>
      </c>
      <c r="N37" s="56"/>
      <c r="O37" s="57" t="s">
        <v>80</v>
      </c>
      <c r="P37" s="57" t="s">
        <v>81</v>
      </c>
    </row>
    <row r="38" spans="1:16" ht="12.75" customHeight="1" thickBot="1" x14ac:dyDescent="0.25">
      <c r="A38" s="46" t="str">
        <f t="shared" si="0"/>
        <v> TTAO 1.43 </v>
      </c>
      <c r="B38" s="17" t="str">
        <f t="shared" si="1"/>
        <v>II</v>
      </c>
      <c r="C38" s="46">
        <f t="shared" si="2"/>
        <v>23654.35</v>
      </c>
      <c r="D38" s="14" t="str">
        <f t="shared" si="3"/>
        <v>vis</v>
      </c>
      <c r="E38" s="54">
        <f>VLOOKUP(C38,Active!C$21:E$973,3,FALSE)</f>
        <v>-22512.257276852837</v>
      </c>
      <c r="F38" s="17" t="s">
        <v>36</v>
      </c>
      <c r="G38" s="14" t="str">
        <f t="shared" si="4"/>
        <v>23654.35</v>
      </c>
      <c r="H38" s="46">
        <f t="shared" si="5"/>
        <v>-36935.5</v>
      </c>
      <c r="I38" s="55" t="s">
        <v>90</v>
      </c>
      <c r="J38" s="56" t="s">
        <v>91</v>
      </c>
      <c r="K38" s="55">
        <v>-36935.5</v>
      </c>
      <c r="L38" s="55" t="s">
        <v>87</v>
      </c>
      <c r="M38" s="56" t="s">
        <v>74</v>
      </c>
      <c r="N38" s="56"/>
      <c r="O38" s="57" t="s">
        <v>80</v>
      </c>
      <c r="P38" s="57" t="s">
        <v>81</v>
      </c>
    </row>
    <row r="39" spans="1:16" ht="12.75" customHeight="1" thickBot="1" x14ac:dyDescent="0.25">
      <c r="A39" s="46" t="str">
        <f t="shared" si="0"/>
        <v> TTAO 1.43 </v>
      </c>
      <c r="B39" s="17" t="str">
        <f t="shared" si="1"/>
        <v>II</v>
      </c>
      <c r="C39" s="46">
        <f t="shared" si="2"/>
        <v>23661.35</v>
      </c>
      <c r="D39" s="14" t="str">
        <f t="shared" si="3"/>
        <v>vis</v>
      </c>
      <c r="E39" s="54">
        <f>VLOOKUP(C39,Active!C$21:E$973,3,FALSE)</f>
        <v>-22503.294354223024</v>
      </c>
      <c r="F39" s="17" t="s">
        <v>36</v>
      </c>
      <c r="G39" s="14" t="str">
        <f t="shared" si="4"/>
        <v>23661.35</v>
      </c>
      <c r="H39" s="46">
        <f t="shared" si="5"/>
        <v>-36926.5</v>
      </c>
      <c r="I39" s="55" t="s">
        <v>92</v>
      </c>
      <c r="J39" s="56" t="s">
        <v>93</v>
      </c>
      <c r="K39" s="55">
        <v>-36926.5</v>
      </c>
      <c r="L39" s="55" t="s">
        <v>84</v>
      </c>
      <c r="M39" s="56" t="s">
        <v>74</v>
      </c>
      <c r="N39" s="56"/>
      <c r="O39" s="57" t="s">
        <v>80</v>
      </c>
      <c r="P39" s="57" t="s">
        <v>81</v>
      </c>
    </row>
    <row r="40" spans="1:16" ht="12.75" customHeight="1" thickBot="1" x14ac:dyDescent="0.25">
      <c r="A40" s="46" t="str">
        <f t="shared" si="0"/>
        <v> TTAO 1.43 </v>
      </c>
      <c r="B40" s="17" t="str">
        <f t="shared" si="1"/>
        <v>II</v>
      </c>
      <c r="C40" s="46">
        <f t="shared" si="2"/>
        <v>23662.15</v>
      </c>
      <c r="D40" s="14" t="str">
        <f t="shared" si="3"/>
        <v>vis</v>
      </c>
      <c r="E40" s="54">
        <f>VLOOKUP(C40,Active!C$21:E$973,3,FALSE)</f>
        <v>-22502.270020208187</v>
      </c>
      <c r="F40" s="17" t="s">
        <v>36</v>
      </c>
      <c r="G40" s="14" t="str">
        <f t="shared" si="4"/>
        <v>23662.15</v>
      </c>
      <c r="H40" s="46">
        <f t="shared" si="5"/>
        <v>-36925.5</v>
      </c>
      <c r="I40" s="55" t="s">
        <v>94</v>
      </c>
      <c r="J40" s="56" t="s">
        <v>95</v>
      </c>
      <c r="K40" s="55">
        <v>-36925.5</v>
      </c>
      <c r="L40" s="55" t="s">
        <v>96</v>
      </c>
      <c r="M40" s="56" t="s">
        <v>74</v>
      </c>
      <c r="N40" s="56"/>
      <c r="O40" s="57" t="s">
        <v>80</v>
      </c>
      <c r="P40" s="57" t="s">
        <v>81</v>
      </c>
    </row>
    <row r="41" spans="1:16" ht="12.75" customHeight="1" thickBot="1" x14ac:dyDescent="0.25">
      <c r="A41" s="46" t="str">
        <f t="shared" si="0"/>
        <v> TTAO 1.43 </v>
      </c>
      <c r="B41" s="17" t="str">
        <f t="shared" si="1"/>
        <v>I</v>
      </c>
      <c r="C41" s="46">
        <f t="shared" si="2"/>
        <v>23663.32</v>
      </c>
      <c r="D41" s="14" t="str">
        <f t="shared" si="3"/>
        <v>vis</v>
      </c>
      <c r="E41" s="54">
        <f>VLOOKUP(C41,Active!C$21:E$973,3,FALSE)</f>
        <v>-22500.77193171149</v>
      </c>
      <c r="F41" s="17" t="s">
        <v>36</v>
      </c>
      <c r="G41" s="14" t="str">
        <f t="shared" si="4"/>
        <v>23663.32</v>
      </c>
      <c r="H41" s="46">
        <f t="shared" si="5"/>
        <v>-36924</v>
      </c>
      <c r="I41" s="55" t="s">
        <v>97</v>
      </c>
      <c r="J41" s="56" t="s">
        <v>98</v>
      </c>
      <c r="K41" s="55">
        <v>-36924</v>
      </c>
      <c r="L41" s="55" t="s">
        <v>99</v>
      </c>
      <c r="M41" s="56" t="s">
        <v>74</v>
      </c>
      <c r="N41" s="56"/>
      <c r="O41" s="57" t="s">
        <v>80</v>
      </c>
      <c r="P41" s="57" t="s">
        <v>81</v>
      </c>
    </row>
    <row r="42" spans="1:16" ht="12.75" customHeight="1" thickBot="1" x14ac:dyDescent="0.25">
      <c r="A42" s="46" t="str">
        <f t="shared" si="0"/>
        <v> TTAO 1.43 </v>
      </c>
      <c r="B42" s="17" t="str">
        <f t="shared" si="1"/>
        <v>II</v>
      </c>
      <c r="C42" s="46">
        <f t="shared" si="2"/>
        <v>23665.27</v>
      </c>
      <c r="D42" s="14" t="str">
        <f t="shared" si="3"/>
        <v>vis</v>
      </c>
      <c r="E42" s="54">
        <f>VLOOKUP(C42,Active!C$21:E$973,3,FALSE)</f>
        <v>-22498.275117550329</v>
      </c>
      <c r="F42" s="17" t="s">
        <v>36</v>
      </c>
      <c r="G42" s="14" t="str">
        <f t="shared" si="4"/>
        <v>23665.27</v>
      </c>
      <c r="H42" s="46">
        <f t="shared" si="5"/>
        <v>-36921.5</v>
      </c>
      <c r="I42" s="55" t="s">
        <v>100</v>
      </c>
      <c r="J42" s="56" t="s">
        <v>101</v>
      </c>
      <c r="K42" s="55">
        <v>-36921.5</v>
      </c>
      <c r="L42" s="55" t="s">
        <v>99</v>
      </c>
      <c r="M42" s="56" t="s">
        <v>74</v>
      </c>
      <c r="N42" s="56"/>
      <c r="O42" s="57" t="s">
        <v>80</v>
      </c>
      <c r="P42" s="57" t="s">
        <v>81</v>
      </c>
    </row>
    <row r="43" spans="1:16" ht="12.75" customHeight="1" thickBot="1" x14ac:dyDescent="0.25">
      <c r="A43" s="46" t="str">
        <f t="shared" ref="A43:A74" si="6">P43</f>
        <v> TTAO 1.43 </v>
      </c>
      <c r="B43" s="17" t="str">
        <f t="shared" ref="B43:B74" si="7">IF(H43=INT(H43),"I","II")</f>
        <v>II</v>
      </c>
      <c r="C43" s="46">
        <f t="shared" ref="C43:C74" si="8">1*G43</f>
        <v>23669.15</v>
      </c>
      <c r="D43" s="14" t="str">
        <f t="shared" ref="D43:D74" si="9">VLOOKUP(F43,I$1:J$5,2,FALSE)</f>
        <v>vis</v>
      </c>
      <c r="E43" s="54">
        <f>VLOOKUP(C43,Active!C$21:E$973,3,FALSE)</f>
        <v>-22493.307097578374</v>
      </c>
      <c r="F43" s="17" t="s">
        <v>36</v>
      </c>
      <c r="G43" s="14" t="str">
        <f t="shared" ref="G43:G74" si="10">MID(I43,3,LEN(I43)-3)</f>
        <v>23669.15</v>
      </c>
      <c r="H43" s="46">
        <f t="shared" ref="H43:H74" si="11">1*K43</f>
        <v>-36916.5</v>
      </c>
      <c r="I43" s="55" t="s">
        <v>102</v>
      </c>
      <c r="J43" s="56" t="s">
        <v>103</v>
      </c>
      <c r="K43" s="55">
        <v>-36916.5</v>
      </c>
      <c r="L43" s="55" t="s">
        <v>79</v>
      </c>
      <c r="M43" s="56" t="s">
        <v>74</v>
      </c>
      <c r="N43" s="56"/>
      <c r="O43" s="57" t="s">
        <v>80</v>
      </c>
      <c r="P43" s="57" t="s">
        <v>81</v>
      </c>
    </row>
    <row r="44" spans="1:16" ht="12.75" customHeight="1" thickBot="1" x14ac:dyDescent="0.25">
      <c r="A44" s="46" t="str">
        <f t="shared" si="6"/>
        <v> TTAO 1.43 </v>
      </c>
      <c r="B44" s="17" t="str">
        <f t="shared" si="7"/>
        <v>II</v>
      </c>
      <c r="C44" s="46">
        <f t="shared" si="8"/>
        <v>23676.2</v>
      </c>
      <c r="D44" s="14" t="str">
        <f t="shared" si="9"/>
        <v>vis</v>
      </c>
      <c r="E44" s="54">
        <f>VLOOKUP(C44,Active!C$21:E$973,3,FALSE)</f>
        <v>-22484.280154072636</v>
      </c>
      <c r="F44" s="17" t="s">
        <v>36</v>
      </c>
      <c r="G44" s="14" t="str">
        <f t="shared" si="10"/>
        <v>23676.20</v>
      </c>
      <c r="H44" s="46">
        <f t="shared" si="11"/>
        <v>-36907.5</v>
      </c>
      <c r="I44" s="55" t="s">
        <v>104</v>
      </c>
      <c r="J44" s="56" t="s">
        <v>105</v>
      </c>
      <c r="K44" s="55">
        <v>-36907.5</v>
      </c>
      <c r="L44" s="55" t="s">
        <v>99</v>
      </c>
      <c r="M44" s="56" t="s">
        <v>74</v>
      </c>
      <c r="N44" s="56"/>
      <c r="O44" s="57" t="s">
        <v>80</v>
      </c>
      <c r="P44" s="57" t="s">
        <v>81</v>
      </c>
    </row>
    <row r="45" spans="1:16" ht="12.75" customHeight="1" thickBot="1" x14ac:dyDescent="0.25">
      <c r="A45" s="46" t="str">
        <f t="shared" si="6"/>
        <v> TTAO 1.43 </v>
      </c>
      <c r="B45" s="17" t="str">
        <f t="shared" si="7"/>
        <v>I</v>
      </c>
      <c r="C45" s="46">
        <f t="shared" si="8"/>
        <v>23678.17</v>
      </c>
      <c r="D45" s="14" t="str">
        <f t="shared" si="9"/>
        <v>vis</v>
      </c>
      <c r="E45" s="54">
        <f>VLOOKUP(C45,Active!C$21:E$973,3,FALSE)</f>
        <v>-22481.757731561109</v>
      </c>
      <c r="F45" s="17" t="s">
        <v>36</v>
      </c>
      <c r="G45" s="14" t="str">
        <f t="shared" si="10"/>
        <v>23678.17</v>
      </c>
      <c r="H45" s="46">
        <f t="shared" si="11"/>
        <v>-36905</v>
      </c>
      <c r="I45" s="55" t="s">
        <v>106</v>
      </c>
      <c r="J45" s="56" t="s">
        <v>107</v>
      </c>
      <c r="K45" s="55">
        <v>-36905</v>
      </c>
      <c r="L45" s="55" t="s">
        <v>87</v>
      </c>
      <c r="M45" s="56" t="s">
        <v>74</v>
      </c>
      <c r="N45" s="56"/>
      <c r="O45" s="57" t="s">
        <v>80</v>
      </c>
      <c r="P45" s="57" t="s">
        <v>81</v>
      </c>
    </row>
    <row r="46" spans="1:16" ht="12.75" customHeight="1" thickBot="1" x14ac:dyDescent="0.25">
      <c r="A46" s="46" t="str">
        <f t="shared" si="6"/>
        <v> TTAO 1.43 </v>
      </c>
      <c r="B46" s="17" t="str">
        <f t="shared" si="7"/>
        <v>II</v>
      </c>
      <c r="C46" s="46">
        <f t="shared" si="8"/>
        <v>23680.13</v>
      </c>
      <c r="D46" s="14" t="str">
        <f t="shared" si="9"/>
        <v>vis</v>
      </c>
      <c r="E46" s="54">
        <f>VLOOKUP(C46,Active!C$21:E$973,3,FALSE)</f>
        <v>-22479.248113224756</v>
      </c>
      <c r="F46" s="17" t="s">
        <v>36</v>
      </c>
      <c r="G46" s="14" t="str">
        <f t="shared" si="10"/>
        <v>23680.13</v>
      </c>
      <c r="H46" s="46">
        <f t="shared" si="11"/>
        <v>-36902.5</v>
      </c>
      <c r="I46" s="55" t="s">
        <v>108</v>
      </c>
      <c r="J46" s="56" t="s">
        <v>109</v>
      </c>
      <c r="K46" s="55">
        <v>-36902.5</v>
      </c>
      <c r="L46" s="55" t="s">
        <v>87</v>
      </c>
      <c r="M46" s="56" t="s">
        <v>74</v>
      </c>
      <c r="N46" s="56"/>
      <c r="O46" s="57" t="s">
        <v>80</v>
      </c>
      <c r="P46" s="57" t="s">
        <v>81</v>
      </c>
    </row>
    <row r="47" spans="1:16" ht="12.75" customHeight="1" thickBot="1" x14ac:dyDescent="0.25">
      <c r="A47" s="46" t="str">
        <f t="shared" si="6"/>
        <v> TTAO 1.43 </v>
      </c>
      <c r="B47" s="17" t="str">
        <f t="shared" si="7"/>
        <v>II</v>
      </c>
      <c r="C47" s="46">
        <f t="shared" si="8"/>
        <v>23694.15</v>
      </c>
      <c r="D47" s="14" t="str">
        <f t="shared" si="9"/>
        <v>vis</v>
      </c>
      <c r="E47" s="54">
        <f>VLOOKUP(C47,Active!C$21:E$973,3,FALSE)</f>
        <v>-22461.296659614763</v>
      </c>
      <c r="F47" s="17" t="s">
        <v>36</v>
      </c>
      <c r="G47" s="14" t="str">
        <f t="shared" si="10"/>
        <v>23694.15</v>
      </c>
      <c r="H47" s="46">
        <f t="shared" si="11"/>
        <v>-36884.5</v>
      </c>
      <c r="I47" s="55" t="s">
        <v>110</v>
      </c>
      <c r="J47" s="56" t="s">
        <v>111</v>
      </c>
      <c r="K47" s="55">
        <v>-36884.5</v>
      </c>
      <c r="L47" s="55" t="s">
        <v>84</v>
      </c>
      <c r="M47" s="56" t="s">
        <v>74</v>
      </c>
      <c r="N47" s="56"/>
      <c r="O47" s="57" t="s">
        <v>80</v>
      </c>
      <c r="P47" s="57" t="s">
        <v>81</v>
      </c>
    </row>
    <row r="48" spans="1:16" ht="12.75" customHeight="1" thickBot="1" x14ac:dyDescent="0.25">
      <c r="A48" s="46" t="str">
        <f t="shared" si="6"/>
        <v> TTAO 1.43 </v>
      </c>
      <c r="B48" s="17" t="str">
        <f t="shared" si="7"/>
        <v>II</v>
      </c>
      <c r="C48" s="46">
        <f t="shared" si="8"/>
        <v>23697.3</v>
      </c>
      <c r="D48" s="14" t="str">
        <f t="shared" si="9"/>
        <v>vis</v>
      </c>
      <c r="E48" s="54">
        <f>VLOOKUP(C48,Active!C$21:E$973,3,FALSE)</f>
        <v>-22457.263344431351</v>
      </c>
      <c r="F48" s="17" t="s">
        <v>36</v>
      </c>
      <c r="G48" s="14" t="str">
        <f t="shared" si="10"/>
        <v>23697.30</v>
      </c>
      <c r="H48" s="46">
        <f t="shared" si="11"/>
        <v>-36880.5</v>
      </c>
      <c r="I48" s="55" t="s">
        <v>112</v>
      </c>
      <c r="J48" s="56" t="s">
        <v>113</v>
      </c>
      <c r="K48" s="55">
        <v>-36880.5</v>
      </c>
      <c r="L48" s="55" t="s">
        <v>96</v>
      </c>
      <c r="M48" s="56" t="s">
        <v>74</v>
      </c>
      <c r="N48" s="56"/>
      <c r="O48" s="57" t="s">
        <v>80</v>
      </c>
      <c r="P48" s="57" t="s">
        <v>81</v>
      </c>
    </row>
    <row r="49" spans="1:16" ht="12.75" customHeight="1" thickBot="1" x14ac:dyDescent="0.25">
      <c r="A49" s="46" t="str">
        <f t="shared" si="6"/>
        <v> TTAO 1.43 </v>
      </c>
      <c r="B49" s="17" t="str">
        <f t="shared" si="7"/>
        <v>II</v>
      </c>
      <c r="C49" s="46">
        <f t="shared" si="8"/>
        <v>23733.200000000001</v>
      </c>
      <c r="D49" s="14" t="str">
        <f t="shared" si="9"/>
        <v>vis</v>
      </c>
      <c r="E49" s="54">
        <f>VLOOKUP(C49,Active!C$21:E$973,3,FALSE)</f>
        <v>-22411.296355515602</v>
      </c>
      <c r="F49" s="17" t="s">
        <v>36</v>
      </c>
      <c r="G49" s="14" t="str">
        <f t="shared" si="10"/>
        <v>23733.20</v>
      </c>
      <c r="H49" s="46">
        <f t="shared" si="11"/>
        <v>-36834.5</v>
      </c>
      <c r="I49" s="55" t="s">
        <v>114</v>
      </c>
      <c r="J49" s="56" t="s">
        <v>115</v>
      </c>
      <c r="K49" s="55">
        <v>-36834.5</v>
      </c>
      <c r="L49" s="55" t="s">
        <v>84</v>
      </c>
      <c r="M49" s="56" t="s">
        <v>74</v>
      </c>
      <c r="N49" s="56"/>
      <c r="O49" s="57" t="s">
        <v>80</v>
      </c>
      <c r="P49" s="57" t="s">
        <v>81</v>
      </c>
    </row>
    <row r="50" spans="1:16" ht="12.75" customHeight="1" thickBot="1" x14ac:dyDescent="0.25">
      <c r="A50" s="46" t="str">
        <f t="shared" si="6"/>
        <v> AAC 1.154 </v>
      </c>
      <c r="B50" s="17" t="str">
        <f t="shared" si="7"/>
        <v>I</v>
      </c>
      <c r="C50" s="46">
        <f t="shared" si="8"/>
        <v>25098.418000000001</v>
      </c>
      <c r="D50" s="14" t="str">
        <f t="shared" si="9"/>
        <v>vis</v>
      </c>
      <c r="E50" s="54">
        <f>VLOOKUP(C50,Active!C$21:E$973,3,FALSE)</f>
        <v>-20663.24731168339</v>
      </c>
      <c r="F50" s="17" t="s">
        <v>36</v>
      </c>
      <c r="G50" s="14" t="str">
        <f t="shared" si="10"/>
        <v>25098.418</v>
      </c>
      <c r="H50" s="46">
        <f t="shared" si="11"/>
        <v>-35086</v>
      </c>
      <c r="I50" s="55" t="s">
        <v>116</v>
      </c>
      <c r="J50" s="56" t="s">
        <v>117</v>
      </c>
      <c r="K50" s="55">
        <v>-35086</v>
      </c>
      <c r="L50" s="55" t="s">
        <v>118</v>
      </c>
      <c r="M50" s="56" t="s">
        <v>74</v>
      </c>
      <c r="N50" s="56"/>
      <c r="O50" s="57" t="s">
        <v>119</v>
      </c>
      <c r="P50" s="57" t="s">
        <v>120</v>
      </c>
    </row>
    <row r="51" spans="1:16" ht="12.75" customHeight="1" thickBot="1" x14ac:dyDescent="0.25">
      <c r="A51" s="46" t="str">
        <f t="shared" si="6"/>
        <v> AAC 1.154 </v>
      </c>
      <c r="B51" s="17" t="str">
        <f t="shared" si="7"/>
        <v>I</v>
      </c>
      <c r="C51" s="46">
        <f t="shared" si="8"/>
        <v>25145.294999999998</v>
      </c>
      <c r="D51" s="14" t="str">
        <f t="shared" si="9"/>
        <v>vis</v>
      </c>
      <c r="E51" s="54">
        <f>VLOOKUP(C51,Active!C$21:E$973,3,FALSE)</f>
        <v>-20603.225179666584</v>
      </c>
      <c r="F51" s="17" t="s">
        <v>36</v>
      </c>
      <c r="G51" s="14" t="str">
        <f t="shared" si="10"/>
        <v>25145.295</v>
      </c>
      <c r="H51" s="46">
        <f t="shared" si="11"/>
        <v>-35026</v>
      </c>
      <c r="I51" s="55" t="s">
        <v>121</v>
      </c>
      <c r="J51" s="56" t="s">
        <v>122</v>
      </c>
      <c r="K51" s="55">
        <v>-35026</v>
      </c>
      <c r="L51" s="55" t="s">
        <v>123</v>
      </c>
      <c r="M51" s="56" t="s">
        <v>74</v>
      </c>
      <c r="N51" s="56"/>
      <c r="O51" s="57" t="s">
        <v>119</v>
      </c>
      <c r="P51" s="57" t="s">
        <v>120</v>
      </c>
    </row>
    <row r="52" spans="1:16" ht="12.75" customHeight="1" thickBot="1" x14ac:dyDescent="0.25">
      <c r="A52" s="46" t="str">
        <f t="shared" si="6"/>
        <v> AAC 1.154 </v>
      </c>
      <c r="B52" s="17" t="str">
        <f t="shared" si="7"/>
        <v>I</v>
      </c>
      <c r="C52" s="46">
        <f t="shared" si="8"/>
        <v>25146.075000000001</v>
      </c>
      <c r="D52" s="14" t="str">
        <f t="shared" si="9"/>
        <v>vis</v>
      </c>
      <c r="E52" s="54">
        <f>VLOOKUP(C52,Active!C$21:E$973,3,FALSE)</f>
        <v>-20602.226454002117</v>
      </c>
      <c r="F52" s="17" t="s">
        <v>36</v>
      </c>
      <c r="G52" s="14" t="str">
        <f t="shared" si="10"/>
        <v>25146.075</v>
      </c>
      <c r="H52" s="46">
        <f t="shared" si="11"/>
        <v>-35025</v>
      </c>
      <c r="I52" s="55" t="s">
        <v>124</v>
      </c>
      <c r="J52" s="56" t="s">
        <v>125</v>
      </c>
      <c r="K52" s="55">
        <v>-35025</v>
      </c>
      <c r="L52" s="55" t="s">
        <v>126</v>
      </c>
      <c r="M52" s="56" t="s">
        <v>74</v>
      </c>
      <c r="N52" s="56"/>
      <c r="O52" s="57" t="s">
        <v>119</v>
      </c>
      <c r="P52" s="57" t="s">
        <v>120</v>
      </c>
    </row>
    <row r="53" spans="1:16" ht="12.75" customHeight="1" thickBot="1" x14ac:dyDescent="0.25">
      <c r="A53" s="46" t="str">
        <f t="shared" si="6"/>
        <v> PZ 8.233 </v>
      </c>
      <c r="B53" s="17" t="str">
        <f t="shared" si="7"/>
        <v>I</v>
      </c>
      <c r="C53" s="46">
        <f t="shared" si="8"/>
        <v>25470.2</v>
      </c>
      <c r="D53" s="14" t="str">
        <f t="shared" si="9"/>
        <v>vis</v>
      </c>
      <c r="E53" s="54">
        <f>VLOOKUP(C53,Active!C$21:E$973,3,FALSE)</f>
        <v>-20187.2111258039</v>
      </c>
      <c r="F53" s="17" t="s">
        <v>36</v>
      </c>
      <c r="G53" s="14" t="str">
        <f t="shared" si="10"/>
        <v>25470.20</v>
      </c>
      <c r="H53" s="46">
        <f t="shared" si="11"/>
        <v>-34610</v>
      </c>
      <c r="I53" s="55" t="s">
        <v>127</v>
      </c>
      <c r="J53" s="56" t="s">
        <v>128</v>
      </c>
      <c r="K53" s="55">
        <v>-34610</v>
      </c>
      <c r="L53" s="55" t="s">
        <v>129</v>
      </c>
      <c r="M53" s="56" t="s">
        <v>74</v>
      </c>
      <c r="N53" s="56"/>
      <c r="O53" s="57" t="s">
        <v>80</v>
      </c>
      <c r="P53" s="57" t="s">
        <v>130</v>
      </c>
    </row>
    <row r="54" spans="1:16" ht="12.75" customHeight="1" thickBot="1" x14ac:dyDescent="0.25">
      <c r="A54" s="46" t="str">
        <f t="shared" si="6"/>
        <v> PZ 8.233 </v>
      </c>
      <c r="B54" s="17" t="str">
        <f t="shared" si="7"/>
        <v>I</v>
      </c>
      <c r="C54" s="46">
        <f t="shared" si="8"/>
        <v>25484.23</v>
      </c>
      <c r="D54" s="14" t="str">
        <f t="shared" si="9"/>
        <v>vis</v>
      </c>
      <c r="E54" s="54">
        <f>VLOOKUP(C54,Active!C$21:E$973,3,FALSE)</f>
        <v>-20169.246868018723</v>
      </c>
      <c r="F54" s="17" t="s">
        <v>36</v>
      </c>
      <c r="G54" s="14" t="str">
        <f t="shared" si="10"/>
        <v>25484.23</v>
      </c>
      <c r="H54" s="46">
        <f t="shared" si="11"/>
        <v>-34592</v>
      </c>
      <c r="I54" s="55" t="s">
        <v>131</v>
      </c>
      <c r="J54" s="56" t="s">
        <v>132</v>
      </c>
      <c r="K54" s="55">
        <v>-34592</v>
      </c>
      <c r="L54" s="55" t="s">
        <v>133</v>
      </c>
      <c r="M54" s="56" t="s">
        <v>74</v>
      </c>
      <c r="N54" s="56"/>
      <c r="O54" s="57" t="s">
        <v>80</v>
      </c>
      <c r="P54" s="57" t="s">
        <v>130</v>
      </c>
    </row>
    <row r="55" spans="1:16" ht="12.75" customHeight="1" thickBot="1" x14ac:dyDescent="0.25">
      <c r="A55" s="46" t="str">
        <f t="shared" si="6"/>
        <v> PZ 8.233 </v>
      </c>
      <c r="B55" s="17" t="str">
        <f t="shared" si="7"/>
        <v>I</v>
      </c>
      <c r="C55" s="46">
        <f t="shared" si="8"/>
        <v>25491.27</v>
      </c>
      <c r="D55" s="14" t="str">
        <f t="shared" si="9"/>
        <v>vis</v>
      </c>
      <c r="E55" s="54">
        <f>VLOOKUP(C55,Active!C$21:E$973,3,FALSE)</f>
        <v>-20160.232728688166</v>
      </c>
      <c r="F55" s="17" t="s">
        <v>36</v>
      </c>
      <c r="G55" s="14" t="str">
        <f t="shared" si="10"/>
        <v>25491.27</v>
      </c>
      <c r="H55" s="46">
        <f t="shared" si="11"/>
        <v>-34583</v>
      </c>
      <c r="I55" s="55" t="s">
        <v>134</v>
      </c>
      <c r="J55" s="56" t="s">
        <v>135</v>
      </c>
      <c r="K55" s="55">
        <v>-34583</v>
      </c>
      <c r="L55" s="55" t="s">
        <v>136</v>
      </c>
      <c r="M55" s="56" t="s">
        <v>74</v>
      </c>
      <c r="N55" s="56"/>
      <c r="O55" s="57" t="s">
        <v>80</v>
      </c>
      <c r="P55" s="57" t="s">
        <v>130</v>
      </c>
    </row>
    <row r="56" spans="1:16" ht="12.75" customHeight="1" thickBot="1" x14ac:dyDescent="0.25">
      <c r="A56" s="46" t="str">
        <f t="shared" si="6"/>
        <v> PZ 8.233 </v>
      </c>
      <c r="B56" s="17" t="str">
        <f t="shared" si="7"/>
        <v>I</v>
      </c>
      <c r="C56" s="46">
        <f t="shared" si="8"/>
        <v>25495.16</v>
      </c>
      <c r="D56" s="14" t="str">
        <f t="shared" si="9"/>
        <v>vis</v>
      </c>
      <c r="E56" s="54">
        <f>VLOOKUP(C56,Active!C$21:E$973,3,FALSE)</f>
        <v>-20155.25190454103</v>
      </c>
      <c r="F56" s="17" t="s">
        <v>36</v>
      </c>
      <c r="G56" s="14" t="str">
        <f t="shared" si="10"/>
        <v>25495.16</v>
      </c>
      <c r="H56" s="46">
        <f t="shared" si="11"/>
        <v>-34578</v>
      </c>
      <c r="I56" s="55" t="s">
        <v>137</v>
      </c>
      <c r="J56" s="56" t="s">
        <v>138</v>
      </c>
      <c r="K56" s="55">
        <v>-34578</v>
      </c>
      <c r="L56" s="55" t="s">
        <v>133</v>
      </c>
      <c r="M56" s="56" t="s">
        <v>74</v>
      </c>
      <c r="N56" s="56"/>
      <c r="O56" s="57" t="s">
        <v>80</v>
      </c>
      <c r="P56" s="57" t="s">
        <v>130</v>
      </c>
    </row>
    <row r="57" spans="1:16" ht="12.75" customHeight="1" thickBot="1" x14ac:dyDescent="0.25">
      <c r="A57" s="46" t="str">
        <f t="shared" si="6"/>
        <v> PZ 8.233 </v>
      </c>
      <c r="B57" s="17" t="str">
        <f t="shared" si="7"/>
        <v>I</v>
      </c>
      <c r="C57" s="46">
        <f t="shared" si="8"/>
        <v>25502.21</v>
      </c>
      <c r="D57" s="14" t="str">
        <f t="shared" si="9"/>
        <v>vis</v>
      </c>
      <c r="E57" s="54">
        <f>VLOOKUP(C57,Active!C$21:E$973,3,FALSE)</f>
        <v>-20146.224961035292</v>
      </c>
      <c r="F57" s="17" t="s">
        <v>36</v>
      </c>
      <c r="G57" s="14" t="str">
        <f t="shared" si="10"/>
        <v>25502.21</v>
      </c>
      <c r="H57" s="46">
        <f t="shared" si="11"/>
        <v>-34569</v>
      </c>
      <c r="I57" s="55" t="s">
        <v>139</v>
      </c>
      <c r="J57" s="56" t="s">
        <v>140</v>
      </c>
      <c r="K57" s="55">
        <v>-34569</v>
      </c>
      <c r="L57" s="55" t="s">
        <v>141</v>
      </c>
      <c r="M57" s="56" t="s">
        <v>74</v>
      </c>
      <c r="N57" s="56"/>
      <c r="O57" s="57" t="s">
        <v>80</v>
      </c>
      <c r="P57" s="57" t="s">
        <v>130</v>
      </c>
    </row>
    <row r="58" spans="1:16" ht="12.75" customHeight="1" thickBot="1" x14ac:dyDescent="0.25">
      <c r="A58" s="46" t="str">
        <f t="shared" si="6"/>
        <v> PZ 8.233 </v>
      </c>
      <c r="B58" s="17" t="str">
        <f t="shared" si="7"/>
        <v>I</v>
      </c>
      <c r="C58" s="46">
        <f t="shared" si="8"/>
        <v>25520.16</v>
      </c>
      <c r="D58" s="14" t="str">
        <f t="shared" si="9"/>
        <v>vis</v>
      </c>
      <c r="E58" s="54">
        <f>VLOOKUP(C58,Active!C$21:E$973,3,FALSE)</f>
        <v>-20123.241466577419</v>
      </c>
      <c r="F58" s="17" t="s">
        <v>36</v>
      </c>
      <c r="G58" s="14" t="str">
        <f t="shared" si="10"/>
        <v>25520.16</v>
      </c>
      <c r="H58" s="46">
        <f t="shared" si="11"/>
        <v>-34546</v>
      </c>
      <c r="I58" s="55" t="s">
        <v>142</v>
      </c>
      <c r="J58" s="56" t="s">
        <v>143</v>
      </c>
      <c r="K58" s="55">
        <v>-34546</v>
      </c>
      <c r="L58" s="55" t="s">
        <v>136</v>
      </c>
      <c r="M58" s="56" t="s">
        <v>74</v>
      </c>
      <c r="N58" s="56"/>
      <c r="O58" s="57" t="s">
        <v>80</v>
      </c>
      <c r="P58" s="57" t="s">
        <v>130</v>
      </c>
    </row>
    <row r="59" spans="1:16" ht="12.75" customHeight="1" thickBot="1" x14ac:dyDescent="0.25">
      <c r="A59" s="46" t="str">
        <f t="shared" si="6"/>
        <v> PZ 8.233 </v>
      </c>
      <c r="B59" s="17" t="str">
        <f t="shared" si="7"/>
        <v>I</v>
      </c>
      <c r="C59" s="46">
        <f t="shared" si="8"/>
        <v>25538.14</v>
      </c>
      <c r="D59" s="14" t="str">
        <f t="shared" si="9"/>
        <v>vis</v>
      </c>
      <c r="E59" s="54">
        <f>VLOOKUP(C59,Active!C$21:E$973,3,FALSE)</f>
        <v>-20100.219559593992</v>
      </c>
      <c r="F59" s="17" t="s">
        <v>36</v>
      </c>
      <c r="G59" s="14" t="str">
        <f t="shared" si="10"/>
        <v>25538.14</v>
      </c>
      <c r="H59" s="46">
        <f t="shared" si="11"/>
        <v>-34523</v>
      </c>
      <c r="I59" s="55" t="s">
        <v>144</v>
      </c>
      <c r="J59" s="56" t="s">
        <v>145</v>
      </c>
      <c r="K59" s="55">
        <v>-34523</v>
      </c>
      <c r="L59" s="55" t="s">
        <v>141</v>
      </c>
      <c r="M59" s="56" t="s">
        <v>74</v>
      </c>
      <c r="N59" s="56"/>
      <c r="O59" s="57" t="s">
        <v>80</v>
      </c>
      <c r="P59" s="57" t="s">
        <v>130</v>
      </c>
    </row>
    <row r="60" spans="1:16" ht="12.75" customHeight="1" thickBot="1" x14ac:dyDescent="0.25">
      <c r="A60" s="46" t="str">
        <f t="shared" si="6"/>
        <v> PZ 8.233 </v>
      </c>
      <c r="B60" s="17" t="str">
        <f t="shared" si="7"/>
        <v>I</v>
      </c>
      <c r="C60" s="46">
        <f t="shared" si="8"/>
        <v>25545.17</v>
      </c>
      <c r="D60" s="14" t="str">
        <f t="shared" si="9"/>
        <v>vis</v>
      </c>
      <c r="E60" s="54">
        <f>VLOOKUP(C60,Active!C$21:E$973,3,FALSE)</f>
        <v>-20091.218224438624</v>
      </c>
      <c r="F60" s="17" t="s">
        <v>36</v>
      </c>
      <c r="G60" s="14" t="str">
        <f t="shared" si="10"/>
        <v>25545.17</v>
      </c>
      <c r="H60" s="46">
        <f t="shared" si="11"/>
        <v>-34514</v>
      </c>
      <c r="I60" s="55" t="s">
        <v>146</v>
      </c>
      <c r="J60" s="56" t="s">
        <v>147</v>
      </c>
      <c r="K60" s="55">
        <v>-34514</v>
      </c>
      <c r="L60" s="55" t="s">
        <v>141</v>
      </c>
      <c r="M60" s="56" t="s">
        <v>74</v>
      </c>
      <c r="N60" s="56"/>
      <c r="O60" s="57" t="s">
        <v>80</v>
      </c>
      <c r="P60" s="57" t="s">
        <v>130</v>
      </c>
    </row>
    <row r="61" spans="1:16" ht="12.75" customHeight="1" thickBot="1" x14ac:dyDescent="0.25">
      <c r="A61" s="46" t="str">
        <f t="shared" si="6"/>
        <v> AN 258.175 </v>
      </c>
      <c r="B61" s="17" t="str">
        <f t="shared" si="7"/>
        <v>I</v>
      </c>
      <c r="C61" s="46">
        <f t="shared" si="8"/>
        <v>25628.738000000001</v>
      </c>
      <c r="D61" s="14" t="str">
        <f t="shared" si="9"/>
        <v>vis</v>
      </c>
      <c r="E61" s="54">
        <f>VLOOKUP(C61,Active!C$21:E$973,3,FALSE)</f>
        <v>-19984.216293248897</v>
      </c>
      <c r="F61" s="17" t="s">
        <v>36</v>
      </c>
      <c r="G61" s="14" t="str">
        <f t="shared" si="10"/>
        <v>25628.738</v>
      </c>
      <c r="H61" s="46">
        <f t="shared" si="11"/>
        <v>-34407</v>
      </c>
      <c r="I61" s="55" t="s">
        <v>148</v>
      </c>
      <c r="J61" s="56" t="s">
        <v>149</v>
      </c>
      <c r="K61" s="55">
        <v>-34407</v>
      </c>
      <c r="L61" s="55" t="s">
        <v>150</v>
      </c>
      <c r="M61" s="56" t="s">
        <v>74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46" t="str">
        <f t="shared" si="6"/>
        <v> PZ 8.233 </v>
      </c>
      <c r="B62" s="17" t="str">
        <f t="shared" si="7"/>
        <v>I</v>
      </c>
      <c r="C62" s="46">
        <f t="shared" si="8"/>
        <v>25830.27</v>
      </c>
      <c r="D62" s="14" t="str">
        <f t="shared" si="9"/>
        <v>vis</v>
      </c>
      <c r="E62" s="54">
        <f>VLOOKUP(C62,Active!C$21:E$973,3,FALSE)</f>
        <v>-19726.171189901601</v>
      </c>
      <c r="F62" s="17" t="s">
        <v>36</v>
      </c>
      <c r="G62" s="14" t="str">
        <f t="shared" si="10"/>
        <v>25830.27</v>
      </c>
      <c r="H62" s="46">
        <f t="shared" si="11"/>
        <v>-34149</v>
      </c>
      <c r="I62" s="55" t="s">
        <v>153</v>
      </c>
      <c r="J62" s="56" t="s">
        <v>154</v>
      </c>
      <c r="K62" s="55">
        <v>-34149</v>
      </c>
      <c r="L62" s="55" t="s">
        <v>155</v>
      </c>
      <c r="M62" s="56" t="s">
        <v>74</v>
      </c>
      <c r="N62" s="56"/>
      <c r="O62" s="57" t="s">
        <v>80</v>
      </c>
      <c r="P62" s="57" t="s">
        <v>130</v>
      </c>
    </row>
    <row r="63" spans="1:16" ht="12.75" customHeight="1" thickBot="1" x14ac:dyDescent="0.25">
      <c r="A63" s="46" t="str">
        <f t="shared" si="6"/>
        <v> PZ 8.233 </v>
      </c>
      <c r="B63" s="17" t="str">
        <f t="shared" si="7"/>
        <v>I</v>
      </c>
      <c r="C63" s="46">
        <f t="shared" si="8"/>
        <v>25837.27</v>
      </c>
      <c r="D63" s="14" t="str">
        <f t="shared" si="9"/>
        <v>vis</v>
      </c>
      <c r="E63" s="54">
        <f>VLOOKUP(C63,Active!C$21:E$973,3,FALSE)</f>
        <v>-19717.208267271788</v>
      </c>
      <c r="F63" s="17" t="s">
        <v>36</v>
      </c>
      <c r="G63" s="14" t="str">
        <f t="shared" si="10"/>
        <v>25837.27</v>
      </c>
      <c r="H63" s="46">
        <f t="shared" si="11"/>
        <v>-34140</v>
      </c>
      <c r="I63" s="55" t="s">
        <v>156</v>
      </c>
      <c r="J63" s="56" t="s">
        <v>157</v>
      </c>
      <c r="K63" s="55">
        <v>-34140</v>
      </c>
      <c r="L63" s="55" t="s">
        <v>129</v>
      </c>
      <c r="M63" s="56" t="s">
        <v>74</v>
      </c>
      <c r="N63" s="56"/>
      <c r="O63" s="57" t="s">
        <v>80</v>
      </c>
      <c r="P63" s="57" t="s">
        <v>130</v>
      </c>
    </row>
    <row r="64" spans="1:16" ht="12.75" customHeight="1" thickBot="1" x14ac:dyDescent="0.25">
      <c r="A64" s="46" t="str">
        <f t="shared" si="6"/>
        <v> PZ 8.233 </v>
      </c>
      <c r="B64" s="17" t="str">
        <f t="shared" si="7"/>
        <v>I</v>
      </c>
      <c r="C64" s="46">
        <f t="shared" si="8"/>
        <v>25852.12</v>
      </c>
      <c r="D64" s="14" t="str">
        <f t="shared" si="9"/>
        <v>vis</v>
      </c>
      <c r="E64" s="54">
        <f>VLOOKUP(C64,Active!C$21:E$973,3,FALSE)</f>
        <v>-19698.194067121407</v>
      </c>
      <c r="F64" s="17" t="s">
        <v>36</v>
      </c>
      <c r="G64" s="14" t="str">
        <f t="shared" si="10"/>
        <v>25852.12</v>
      </c>
      <c r="H64" s="46">
        <f t="shared" si="11"/>
        <v>-34121</v>
      </c>
      <c r="I64" s="55" t="s">
        <v>158</v>
      </c>
      <c r="J64" s="56" t="s">
        <v>159</v>
      </c>
      <c r="K64" s="55">
        <v>-34121</v>
      </c>
      <c r="L64" s="55" t="s">
        <v>160</v>
      </c>
      <c r="M64" s="56" t="s">
        <v>74</v>
      </c>
      <c r="N64" s="56"/>
      <c r="O64" s="57" t="s">
        <v>80</v>
      </c>
      <c r="P64" s="57" t="s">
        <v>130</v>
      </c>
    </row>
    <row r="65" spans="1:16" ht="12.75" customHeight="1" thickBot="1" x14ac:dyDescent="0.25">
      <c r="A65" s="46" t="str">
        <f t="shared" si="6"/>
        <v> PZ 8.233 </v>
      </c>
      <c r="B65" s="17" t="str">
        <f t="shared" si="7"/>
        <v>I</v>
      </c>
      <c r="C65" s="46">
        <f t="shared" si="8"/>
        <v>25855.23</v>
      </c>
      <c r="D65" s="14" t="str">
        <f t="shared" si="9"/>
        <v>vis</v>
      </c>
      <c r="E65" s="54">
        <f>VLOOKUP(C65,Active!C$21:E$973,3,FALSE)</f>
        <v>-19694.21196863873</v>
      </c>
      <c r="F65" s="17" t="s">
        <v>36</v>
      </c>
      <c r="G65" s="14" t="str">
        <f t="shared" si="10"/>
        <v>25855.23</v>
      </c>
      <c r="H65" s="46">
        <f t="shared" si="11"/>
        <v>-34117</v>
      </c>
      <c r="I65" s="55" t="s">
        <v>161</v>
      </c>
      <c r="J65" s="56" t="s">
        <v>162</v>
      </c>
      <c r="K65" s="55">
        <v>-34117</v>
      </c>
      <c r="L65" s="55" t="s">
        <v>129</v>
      </c>
      <c r="M65" s="56" t="s">
        <v>74</v>
      </c>
      <c r="N65" s="56"/>
      <c r="O65" s="57" t="s">
        <v>80</v>
      </c>
      <c r="P65" s="57" t="s">
        <v>130</v>
      </c>
    </row>
    <row r="66" spans="1:16" ht="12.75" customHeight="1" thickBot="1" x14ac:dyDescent="0.25">
      <c r="A66" s="46" t="str">
        <f t="shared" si="6"/>
        <v> PZ 8.233 </v>
      </c>
      <c r="B66" s="17" t="str">
        <f t="shared" si="7"/>
        <v>I</v>
      </c>
      <c r="C66" s="46">
        <f t="shared" si="8"/>
        <v>25859.16</v>
      </c>
      <c r="D66" s="14" t="str">
        <f t="shared" si="9"/>
        <v>vis</v>
      </c>
      <c r="E66" s="54">
        <f>VLOOKUP(C66,Active!C$21:E$973,3,FALSE)</f>
        <v>-19689.17992779085</v>
      </c>
      <c r="F66" s="17" t="s">
        <v>36</v>
      </c>
      <c r="G66" s="14" t="str">
        <f t="shared" si="10"/>
        <v>25859.16</v>
      </c>
      <c r="H66" s="46">
        <f t="shared" si="11"/>
        <v>-34112</v>
      </c>
      <c r="I66" s="55" t="s">
        <v>163</v>
      </c>
      <c r="J66" s="56" t="s">
        <v>164</v>
      </c>
      <c r="K66" s="55">
        <v>-34112</v>
      </c>
      <c r="L66" s="55" t="s">
        <v>155</v>
      </c>
      <c r="M66" s="56" t="s">
        <v>74</v>
      </c>
      <c r="N66" s="56"/>
      <c r="O66" s="57" t="s">
        <v>80</v>
      </c>
      <c r="P66" s="57" t="s">
        <v>130</v>
      </c>
    </row>
    <row r="67" spans="1:16" ht="12.75" customHeight="1" thickBot="1" x14ac:dyDescent="0.25">
      <c r="A67" s="46" t="str">
        <f t="shared" si="6"/>
        <v> PZ 8.233 </v>
      </c>
      <c r="B67" s="17" t="str">
        <f t="shared" si="7"/>
        <v>I</v>
      </c>
      <c r="C67" s="46">
        <f t="shared" si="8"/>
        <v>25862.25</v>
      </c>
      <c r="D67" s="14" t="str">
        <f t="shared" si="9"/>
        <v>vis</v>
      </c>
      <c r="E67" s="54">
        <f>VLOOKUP(C67,Active!C$21:E$973,3,FALSE)</f>
        <v>-19685.223437658551</v>
      </c>
      <c r="F67" s="17" t="s">
        <v>36</v>
      </c>
      <c r="G67" s="14" t="str">
        <f t="shared" si="10"/>
        <v>25862.25</v>
      </c>
      <c r="H67" s="46">
        <f t="shared" si="11"/>
        <v>-34108</v>
      </c>
      <c r="I67" s="55" t="s">
        <v>165</v>
      </c>
      <c r="J67" s="56" t="s">
        <v>166</v>
      </c>
      <c r="K67" s="55">
        <v>-34108</v>
      </c>
      <c r="L67" s="55" t="s">
        <v>141</v>
      </c>
      <c r="M67" s="56" t="s">
        <v>74</v>
      </c>
      <c r="N67" s="56"/>
      <c r="O67" s="57" t="s">
        <v>80</v>
      </c>
      <c r="P67" s="57" t="s">
        <v>130</v>
      </c>
    </row>
    <row r="68" spans="1:16" ht="12.75" customHeight="1" thickBot="1" x14ac:dyDescent="0.25">
      <c r="A68" s="46" t="str">
        <f t="shared" si="6"/>
        <v> PZ 8.233 </v>
      </c>
      <c r="B68" s="17" t="str">
        <f t="shared" si="7"/>
        <v>I</v>
      </c>
      <c r="C68" s="46">
        <f t="shared" si="8"/>
        <v>25880.23</v>
      </c>
      <c r="D68" s="14" t="str">
        <f t="shared" si="9"/>
        <v>vis</v>
      </c>
      <c r="E68" s="54">
        <f>VLOOKUP(C68,Active!C$21:E$973,3,FALSE)</f>
        <v>-19662.20153067512</v>
      </c>
      <c r="F68" s="17" t="s">
        <v>36</v>
      </c>
      <c r="G68" s="14" t="str">
        <f t="shared" si="10"/>
        <v>25880.23</v>
      </c>
      <c r="H68" s="46">
        <f t="shared" si="11"/>
        <v>-34085</v>
      </c>
      <c r="I68" s="55" t="s">
        <v>167</v>
      </c>
      <c r="J68" s="56" t="s">
        <v>168</v>
      </c>
      <c r="K68" s="55">
        <v>-34085</v>
      </c>
      <c r="L68" s="55" t="s">
        <v>160</v>
      </c>
      <c r="M68" s="56" t="s">
        <v>74</v>
      </c>
      <c r="N68" s="56"/>
      <c r="O68" s="57" t="s">
        <v>80</v>
      </c>
      <c r="P68" s="57" t="s">
        <v>130</v>
      </c>
    </row>
    <row r="69" spans="1:16" ht="12.75" customHeight="1" thickBot="1" x14ac:dyDescent="0.25">
      <c r="A69" s="46" t="str">
        <f t="shared" si="6"/>
        <v> PZ 8.233 </v>
      </c>
      <c r="B69" s="17" t="str">
        <f t="shared" si="7"/>
        <v>I</v>
      </c>
      <c r="C69" s="46">
        <f t="shared" si="8"/>
        <v>25887.26</v>
      </c>
      <c r="D69" s="14" t="str">
        <f t="shared" si="9"/>
        <v>vis</v>
      </c>
      <c r="E69" s="54">
        <f>VLOOKUP(C69,Active!C$21:E$973,3,FALSE)</f>
        <v>-19653.200195519756</v>
      </c>
      <c r="F69" s="17" t="s">
        <v>36</v>
      </c>
      <c r="G69" s="14" t="str">
        <f t="shared" si="10"/>
        <v>25887.26</v>
      </c>
      <c r="H69" s="46">
        <f t="shared" si="11"/>
        <v>-34076</v>
      </c>
      <c r="I69" s="55" t="s">
        <v>169</v>
      </c>
      <c r="J69" s="56" t="s">
        <v>170</v>
      </c>
      <c r="K69" s="55">
        <v>-34076</v>
      </c>
      <c r="L69" s="55" t="s">
        <v>160</v>
      </c>
      <c r="M69" s="56" t="s">
        <v>74</v>
      </c>
      <c r="N69" s="56"/>
      <c r="O69" s="57" t="s">
        <v>80</v>
      </c>
      <c r="P69" s="57" t="s">
        <v>130</v>
      </c>
    </row>
    <row r="70" spans="1:16" ht="12.75" customHeight="1" thickBot="1" x14ac:dyDescent="0.25">
      <c r="A70" s="46" t="str">
        <f t="shared" si="6"/>
        <v> PZ 8.233 </v>
      </c>
      <c r="B70" s="17" t="str">
        <f t="shared" si="7"/>
        <v>I</v>
      </c>
      <c r="C70" s="46">
        <f t="shared" si="8"/>
        <v>25891.16</v>
      </c>
      <c r="D70" s="14" t="str">
        <f t="shared" si="9"/>
        <v>vis</v>
      </c>
      <c r="E70" s="54">
        <f>VLOOKUP(C70,Active!C$21:E$973,3,FALSE)</f>
        <v>-19648.206567197431</v>
      </c>
      <c r="F70" s="17" t="s">
        <v>36</v>
      </c>
      <c r="G70" s="14" t="str">
        <f t="shared" si="10"/>
        <v>25891.16</v>
      </c>
      <c r="H70" s="46">
        <f t="shared" si="11"/>
        <v>-34071</v>
      </c>
      <c r="I70" s="55" t="s">
        <v>171</v>
      </c>
      <c r="J70" s="56" t="s">
        <v>172</v>
      </c>
      <c r="K70" s="55">
        <v>-34071</v>
      </c>
      <c r="L70" s="55" t="s">
        <v>160</v>
      </c>
      <c r="M70" s="56" t="s">
        <v>74</v>
      </c>
      <c r="N70" s="56"/>
      <c r="O70" s="57" t="s">
        <v>80</v>
      </c>
      <c r="P70" s="57" t="s">
        <v>130</v>
      </c>
    </row>
    <row r="71" spans="1:16" ht="12.75" customHeight="1" thickBot="1" x14ac:dyDescent="0.25">
      <c r="A71" s="46" t="str">
        <f t="shared" si="6"/>
        <v> PZ 8.233 </v>
      </c>
      <c r="B71" s="17" t="str">
        <f t="shared" si="7"/>
        <v>I</v>
      </c>
      <c r="C71" s="46">
        <f t="shared" si="8"/>
        <v>25909.119999999999</v>
      </c>
      <c r="D71" s="14" t="str">
        <f t="shared" si="9"/>
        <v>vis</v>
      </c>
      <c r="E71" s="54">
        <f>VLOOKUP(C71,Active!C$21:E$973,3,FALSE)</f>
        <v>-19625.210268564373</v>
      </c>
      <c r="F71" s="17" t="s">
        <v>36</v>
      </c>
      <c r="G71" s="14" t="str">
        <f t="shared" si="10"/>
        <v>25909.12</v>
      </c>
      <c r="H71" s="46">
        <f t="shared" si="11"/>
        <v>-34048</v>
      </c>
      <c r="I71" s="55" t="s">
        <v>173</v>
      </c>
      <c r="J71" s="56" t="s">
        <v>174</v>
      </c>
      <c r="K71" s="55">
        <v>-34048</v>
      </c>
      <c r="L71" s="55" t="s">
        <v>129</v>
      </c>
      <c r="M71" s="56" t="s">
        <v>74</v>
      </c>
      <c r="N71" s="56"/>
      <c r="O71" s="57" t="s">
        <v>80</v>
      </c>
      <c r="P71" s="57" t="s">
        <v>130</v>
      </c>
    </row>
    <row r="72" spans="1:16" ht="12.75" customHeight="1" thickBot="1" x14ac:dyDescent="0.25">
      <c r="A72" s="46" t="str">
        <f t="shared" si="6"/>
        <v> PZ 8.233 </v>
      </c>
      <c r="B72" s="17" t="str">
        <f t="shared" si="7"/>
        <v>I</v>
      </c>
      <c r="C72" s="46">
        <f t="shared" si="8"/>
        <v>25912.240000000002</v>
      </c>
      <c r="D72" s="14" t="str">
        <f t="shared" si="9"/>
        <v>vis</v>
      </c>
      <c r="E72" s="54">
        <f>VLOOKUP(C72,Active!C$21:E$973,3,FALSE)</f>
        <v>-19621.215365906512</v>
      </c>
      <c r="F72" s="17" t="s">
        <v>36</v>
      </c>
      <c r="G72" s="14" t="str">
        <f t="shared" si="10"/>
        <v>25912.24</v>
      </c>
      <c r="H72" s="46">
        <f t="shared" si="11"/>
        <v>-34044</v>
      </c>
      <c r="I72" s="55" t="s">
        <v>175</v>
      </c>
      <c r="J72" s="56" t="s">
        <v>176</v>
      </c>
      <c r="K72" s="55">
        <v>-34044</v>
      </c>
      <c r="L72" s="55" t="s">
        <v>129</v>
      </c>
      <c r="M72" s="56" t="s">
        <v>74</v>
      </c>
      <c r="N72" s="56"/>
      <c r="O72" s="57" t="s">
        <v>80</v>
      </c>
      <c r="P72" s="57" t="s">
        <v>130</v>
      </c>
    </row>
    <row r="73" spans="1:16" ht="12.75" customHeight="1" thickBot="1" x14ac:dyDescent="0.25">
      <c r="A73" s="46" t="str">
        <f t="shared" si="6"/>
        <v> MNS 30.157 </v>
      </c>
      <c r="B73" s="17" t="str">
        <f t="shared" si="7"/>
        <v>I</v>
      </c>
      <c r="C73" s="46">
        <f t="shared" si="8"/>
        <v>39756.330600000001</v>
      </c>
      <c r="D73" s="14" t="str">
        <f t="shared" si="9"/>
        <v>vis</v>
      </c>
      <c r="E73" s="54">
        <f>VLOOKUP(C73,Active!C$21:E$973,3,FALSE)</f>
        <v>-1894.9992333500079</v>
      </c>
      <c r="F73" s="17" t="s">
        <v>36</v>
      </c>
      <c r="G73" s="14" t="str">
        <f t="shared" si="10"/>
        <v>39756.3306</v>
      </c>
      <c r="H73" s="46">
        <f t="shared" si="11"/>
        <v>-16318</v>
      </c>
      <c r="I73" s="55" t="s">
        <v>177</v>
      </c>
      <c r="J73" s="56" t="s">
        <v>178</v>
      </c>
      <c r="K73" s="55">
        <v>-16318</v>
      </c>
      <c r="L73" s="55" t="s">
        <v>179</v>
      </c>
      <c r="M73" s="56" t="s">
        <v>180</v>
      </c>
      <c r="N73" s="56" t="s">
        <v>181</v>
      </c>
      <c r="O73" s="57" t="s">
        <v>182</v>
      </c>
      <c r="P73" s="57" t="s">
        <v>183</v>
      </c>
    </row>
    <row r="74" spans="1:16" ht="12.75" customHeight="1" thickBot="1" x14ac:dyDescent="0.25">
      <c r="A74" s="46" t="str">
        <f t="shared" si="6"/>
        <v> AJ 78.626 </v>
      </c>
      <c r="B74" s="17" t="str">
        <f t="shared" si="7"/>
        <v>I</v>
      </c>
      <c r="C74" s="46">
        <f t="shared" si="8"/>
        <v>39768.824200000003</v>
      </c>
      <c r="D74" s="14" t="str">
        <f t="shared" si="9"/>
        <v>vis</v>
      </c>
      <c r="E74" s="54">
        <f>VLOOKUP(C74,Active!C$21:E$973,3,FALSE)</f>
        <v>-1879.0022090403188</v>
      </c>
      <c r="F74" s="17" t="s">
        <v>36</v>
      </c>
      <c r="G74" s="14" t="str">
        <f t="shared" si="10"/>
        <v>39768.8242</v>
      </c>
      <c r="H74" s="46">
        <f t="shared" si="11"/>
        <v>-16302</v>
      </c>
      <c r="I74" s="55" t="s">
        <v>184</v>
      </c>
      <c r="J74" s="56" t="s">
        <v>185</v>
      </c>
      <c r="K74" s="55">
        <v>-16302</v>
      </c>
      <c r="L74" s="55" t="s">
        <v>186</v>
      </c>
      <c r="M74" s="56" t="s">
        <v>180</v>
      </c>
      <c r="N74" s="56" t="s">
        <v>181</v>
      </c>
      <c r="O74" s="57" t="s">
        <v>187</v>
      </c>
      <c r="P74" s="57" t="s">
        <v>188</v>
      </c>
    </row>
    <row r="75" spans="1:16" ht="12.75" customHeight="1" thickBot="1" x14ac:dyDescent="0.25">
      <c r="A75" s="46" t="str">
        <f t="shared" ref="A75:A97" si="12">P75</f>
        <v> AJ 78.626 </v>
      </c>
      <c r="B75" s="17" t="str">
        <f t="shared" ref="B75:B97" si="13">IF(H75=INT(H75),"I","II")</f>
        <v>I</v>
      </c>
      <c r="C75" s="46">
        <f t="shared" ref="C75:C97" si="14">1*G75</f>
        <v>39769.609100000001</v>
      </c>
      <c r="D75" s="14" t="str">
        <f t="shared" ref="D75:D97" si="15">VLOOKUP(F75,I$1:J$5,2,FALSE)</f>
        <v>vis</v>
      </c>
      <c r="E75" s="54">
        <f>VLOOKUP(C75,Active!C$21:E$973,3,FALSE)</f>
        <v>-1877.997209330015</v>
      </c>
      <c r="F75" s="17" t="s">
        <v>36</v>
      </c>
      <c r="G75" s="14" t="str">
        <f t="shared" ref="G75:G97" si="16">MID(I75,3,LEN(I75)-3)</f>
        <v>39769.6091</v>
      </c>
      <c r="H75" s="46">
        <f t="shared" ref="H75:H97" si="17">1*K75</f>
        <v>-16301</v>
      </c>
      <c r="I75" s="55" t="s">
        <v>189</v>
      </c>
      <c r="J75" s="56" t="s">
        <v>190</v>
      </c>
      <c r="K75" s="55">
        <v>-16301</v>
      </c>
      <c r="L75" s="55" t="s">
        <v>191</v>
      </c>
      <c r="M75" s="56" t="s">
        <v>180</v>
      </c>
      <c r="N75" s="56" t="s">
        <v>181</v>
      </c>
      <c r="O75" s="57" t="s">
        <v>187</v>
      </c>
      <c r="P75" s="57" t="s">
        <v>188</v>
      </c>
    </row>
    <row r="76" spans="1:16" ht="12.75" customHeight="1" thickBot="1" x14ac:dyDescent="0.25">
      <c r="A76" s="46" t="str">
        <f t="shared" si="12"/>
        <v> AJ 78.626 </v>
      </c>
      <c r="B76" s="17" t="str">
        <f t="shared" si="13"/>
        <v>I</v>
      </c>
      <c r="C76" s="46">
        <f t="shared" si="14"/>
        <v>39775.849199999997</v>
      </c>
      <c r="D76" s="14" t="str">
        <f t="shared" si="15"/>
        <v>vis</v>
      </c>
      <c r="E76" s="54">
        <f>VLOOKUP(C76,Active!C$21:E$973,3,FALSE)</f>
        <v>-1870.0072759725515</v>
      </c>
      <c r="F76" s="17" t="s">
        <v>36</v>
      </c>
      <c r="G76" s="14" t="str">
        <f t="shared" si="16"/>
        <v>39775.8492</v>
      </c>
      <c r="H76" s="46">
        <f t="shared" si="17"/>
        <v>-16293</v>
      </c>
      <c r="I76" s="55" t="s">
        <v>192</v>
      </c>
      <c r="J76" s="56" t="s">
        <v>193</v>
      </c>
      <c r="K76" s="55">
        <v>-16293</v>
      </c>
      <c r="L76" s="55" t="s">
        <v>194</v>
      </c>
      <c r="M76" s="56" t="s">
        <v>180</v>
      </c>
      <c r="N76" s="56" t="s">
        <v>181</v>
      </c>
      <c r="O76" s="57" t="s">
        <v>187</v>
      </c>
      <c r="P76" s="57" t="s">
        <v>188</v>
      </c>
    </row>
    <row r="77" spans="1:16" ht="12.75" customHeight="1" thickBot="1" x14ac:dyDescent="0.25">
      <c r="A77" s="46" t="str">
        <f t="shared" si="12"/>
        <v> AJ 78.626 </v>
      </c>
      <c r="B77" s="17" t="str">
        <f t="shared" si="13"/>
        <v>I</v>
      </c>
      <c r="C77" s="46">
        <f t="shared" si="14"/>
        <v>39787.572899999999</v>
      </c>
      <c r="D77" s="14" t="str">
        <f t="shared" si="15"/>
        <v>vis</v>
      </c>
      <c r="E77" s="54">
        <f>VLOOKUP(C77,Active!C$21:E$973,3,FALSE)</f>
        <v>-1854.9960451103891</v>
      </c>
      <c r="F77" s="17" t="s">
        <v>36</v>
      </c>
      <c r="G77" s="14" t="str">
        <f t="shared" si="16"/>
        <v>39787.5729</v>
      </c>
      <c r="H77" s="46">
        <f t="shared" si="17"/>
        <v>-16278</v>
      </c>
      <c r="I77" s="55" t="s">
        <v>195</v>
      </c>
      <c r="J77" s="56" t="s">
        <v>196</v>
      </c>
      <c r="K77" s="55">
        <v>-16278</v>
      </c>
      <c r="L77" s="55" t="s">
        <v>197</v>
      </c>
      <c r="M77" s="56" t="s">
        <v>180</v>
      </c>
      <c r="N77" s="56" t="s">
        <v>181</v>
      </c>
      <c r="O77" s="57" t="s">
        <v>187</v>
      </c>
      <c r="P77" s="57" t="s">
        <v>188</v>
      </c>
    </row>
    <row r="78" spans="1:16" ht="12.75" customHeight="1" thickBot="1" x14ac:dyDescent="0.25">
      <c r="A78" s="46" t="str">
        <f t="shared" si="12"/>
        <v> MNS 30.157 </v>
      </c>
      <c r="B78" s="17" t="str">
        <f t="shared" si="13"/>
        <v>I</v>
      </c>
      <c r="C78" s="46">
        <f t="shared" si="14"/>
        <v>40854.408000000003</v>
      </c>
      <c r="D78" s="14" t="str">
        <f t="shared" si="15"/>
        <v>vis</v>
      </c>
      <c r="E78" s="54">
        <f>VLOOKUP(C78,Active!C$21:E$973,3,FALSE)</f>
        <v>-489.00169367226727</v>
      </c>
      <c r="F78" s="17" t="s">
        <v>36</v>
      </c>
      <c r="G78" s="14" t="str">
        <f t="shared" si="16"/>
        <v>40854.408</v>
      </c>
      <c r="H78" s="46">
        <f t="shared" si="17"/>
        <v>-14912</v>
      </c>
      <c r="I78" s="55" t="s">
        <v>198</v>
      </c>
      <c r="J78" s="56" t="s">
        <v>199</v>
      </c>
      <c r="K78" s="55">
        <v>-14912</v>
      </c>
      <c r="L78" s="55" t="s">
        <v>200</v>
      </c>
      <c r="M78" s="56" t="s">
        <v>180</v>
      </c>
      <c r="N78" s="56" t="s">
        <v>181</v>
      </c>
      <c r="O78" s="57" t="s">
        <v>182</v>
      </c>
      <c r="P78" s="57" t="s">
        <v>183</v>
      </c>
    </row>
    <row r="79" spans="1:16" ht="12.75" customHeight="1" thickBot="1" x14ac:dyDescent="0.25">
      <c r="A79" s="46" t="str">
        <f t="shared" si="12"/>
        <v> VSSC 72.24 </v>
      </c>
      <c r="B79" s="17" t="str">
        <f t="shared" si="13"/>
        <v>I</v>
      </c>
      <c r="C79" s="46">
        <f t="shared" si="14"/>
        <v>47477.243999999999</v>
      </c>
      <c r="D79" s="14" t="str">
        <f t="shared" si="15"/>
        <v>vis</v>
      </c>
      <c r="E79" s="54">
        <f>VLOOKUP(C79,Active!C$21:E$973,3,FALSE)</f>
        <v>7990.993543174558</v>
      </c>
      <c r="F79" s="17" t="s">
        <v>36</v>
      </c>
      <c r="G79" s="14" t="str">
        <f t="shared" si="16"/>
        <v>47477.244</v>
      </c>
      <c r="H79" s="46">
        <f t="shared" si="17"/>
        <v>-6432</v>
      </c>
      <c r="I79" s="55" t="s">
        <v>252</v>
      </c>
      <c r="J79" s="56" t="s">
        <v>253</v>
      </c>
      <c r="K79" s="55">
        <v>-6432</v>
      </c>
      <c r="L79" s="55" t="s">
        <v>254</v>
      </c>
      <c r="M79" s="56" t="s">
        <v>74</v>
      </c>
      <c r="N79" s="56"/>
      <c r="O79" s="57" t="s">
        <v>255</v>
      </c>
      <c r="P79" s="57" t="s">
        <v>256</v>
      </c>
    </row>
    <row r="80" spans="1:16" ht="12.75" customHeight="1" thickBot="1" x14ac:dyDescent="0.25">
      <c r="A80" s="46" t="str">
        <f t="shared" si="12"/>
        <v> VSSC 73 </v>
      </c>
      <c r="B80" s="17" t="str">
        <f t="shared" si="13"/>
        <v>I</v>
      </c>
      <c r="C80" s="46">
        <f t="shared" si="14"/>
        <v>47776.353999999999</v>
      </c>
      <c r="D80" s="14" t="str">
        <f t="shared" si="15"/>
        <v>vis</v>
      </c>
      <c r="E80" s="54">
        <f>VLOOKUP(C80,Active!C$21:E$973,3,FALSE)</f>
        <v>8373.9792271463884</v>
      </c>
      <c r="F80" s="17" t="s">
        <v>36</v>
      </c>
      <c r="G80" s="14" t="str">
        <f t="shared" si="16"/>
        <v>47776.354</v>
      </c>
      <c r="H80" s="46">
        <f t="shared" si="17"/>
        <v>-6049</v>
      </c>
      <c r="I80" s="55" t="s">
        <v>257</v>
      </c>
      <c r="J80" s="56" t="s">
        <v>258</v>
      </c>
      <c r="K80" s="55">
        <v>-6049</v>
      </c>
      <c r="L80" s="55" t="s">
        <v>259</v>
      </c>
      <c r="M80" s="56" t="s">
        <v>74</v>
      </c>
      <c r="N80" s="56"/>
      <c r="O80" s="57" t="s">
        <v>220</v>
      </c>
      <c r="P80" s="57" t="s">
        <v>260</v>
      </c>
    </row>
    <row r="81" spans="1:16" ht="12.75" customHeight="1" thickBot="1" x14ac:dyDescent="0.25">
      <c r="A81" s="46" t="str">
        <f t="shared" si="12"/>
        <v>IBVS 3423 </v>
      </c>
      <c r="B81" s="17" t="str">
        <f t="shared" si="13"/>
        <v>I</v>
      </c>
      <c r="C81" s="46">
        <f t="shared" si="14"/>
        <v>47819.312599999997</v>
      </c>
      <c r="D81" s="14" t="str">
        <f t="shared" si="15"/>
        <v>vis</v>
      </c>
      <c r="E81" s="54">
        <f>VLOOKUP(C81,Active!C$21:E$973,3,FALSE)</f>
        <v>8428.9841711585286</v>
      </c>
      <c r="F81" s="17" t="s">
        <v>36</v>
      </c>
      <c r="G81" s="14" t="str">
        <f t="shared" si="16"/>
        <v>47819.3126</v>
      </c>
      <c r="H81" s="46">
        <f t="shared" si="17"/>
        <v>-5994</v>
      </c>
      <c r="I81" s="55" t="s">
        <v>261</v>
      </c>
      <c r="J81" s="56" t="s">
        <v>262</v>
      </c>
      <c r="K81" s="55">
        <v>-5994</v>
      </c>
      <c r="L81" s="55" t="s">
        <v>263</v>
      </c>
      <c r="M81" s="56" t="s">
        <v>180</v>
      </c>
      <c r="N81" s="56" t="s">
        <v>181</v>
      </c>
      <c r="O81" s="57" t="s">
        <v>264</v>
      </c>
      <c r="P81" s="58" t="s">
        <v>265</v>
      </c>
    </row>
    <row r="82" spans="1:16" ht="12.75" customHeight="1" thickBot="1" x14ac:dyDescent="0.25">
      <c r="A82" s="46" t="str">
        <f t="shared" si="12"/>
        <v>BAVM 60 </v>
      </c>
      <c r="B82" s="17" t="str">
        <f t="shared" si="13"/>
        <v>I</v>
      </c>
      <c r="C82" s="46">
        <f t="shared" si="14"/>
        <v>48525.332000000002</v>
      </c>
      <c r="D82" s="14" t="str">
        <f t="shared" si="15"/>
        <v>vis</v>
      </c>
      <c r="E82" s="54">
        <f>VLOOKUP(C82,Active!C$21:E$973,3,FALSE)</f>
        <v>9332.9837793507741</v>
      </c>
      <c r="F82" s="17" t="s">
        <v>36</v>
      </c>
      <c r="G82" s="14" t="str">
        <f t="shared" si="16"/>
        <v>48525.332</v>
      </c>
      <c r="H82" s="46">
        <f t="shared" si="17"/>
        <v>-5090</v>
      </c>
      <c r="I82" s="55" t="s">
        <v>277</v>
      </c>
      <c r="J82" s="56" t="s">
        <v>278</v>
      </c>
      <c r="K82" s="55">
        <v>-5090</v>
      </c>
      <c r="L82" s="55" t="s">
        <v>279</v>
      </c>
      <c r="M82" s="56" t="s">
        <v>180</v>
      </c>
      <c r="N82" s="56" t="s">
        <v>269</v>
      </c>
      <c r="O82" s="57" t="s">
        <v>250</v>
      </c>
      <c r="P82" s="58" t="s">
        <v>276</v>
      </c>
    </row>
    <row r="83" spans="1:16" ht="12.75" customHeight="1" thickBot="1" x14ac:dyDescent="0.25">
      <c r="A83" s="46" t="str">
        <f t="shared" si="12"/>
        <v>VSB 47 </v>
      </c>
      <c r="B83" s="17" t="str">
        <f t="shared" si="13"/>
        <v>I</v>
      </c>
      <c r="C83" s="46">
        <f t="shared" si="14"/>
        <v>50719.934999999998</v>
      </c>
      <c r="D83" s="14" t="str">
        <f t="shared" si="15"/>
        <v>vis</v>
      </c>
      <c r="E83" s="54">
        <f>VLOOKUP(C83,Active!C$21:E$973,3,FALSE)</f>
        <v>12142.991906800968</v>
      </c>
      <c r="F83" s="17" t="s">
        <v>36</v>
      </c>
      <c r="G83" s="14" t="str">
        <f t="shared" si="16"/>
        <v>50719.935</v>
      </c>
      <c r="H83" s="46">
        <f t="shared" si="17"/>
        <v>-2280</v>
      </c>
      <c r="I83" s="55" t="s">
        <v>286</v>
      </c>
      <c r="J83" s="56" t="s">
        <v>287</v>
      </c>
      <c r="K83" s="55">
        <v>-2280</v>
      </c>
      <c r="L83" s="55" t="s">
        <v>288</v>
      </c>
      <c r="M83" s="56" t="s">
        <v>289</v>
      </c>
      <c r="N83" s="56" t="s">
        <v>36</v>
      </c>
      <c r="O83" s="57" t="s">
        <v>290</v>
      </c>
      <c r="P83" s="58" t="s">
        <v>291</v>
      </c>
    </row>
    <row r="84" spans="1:16" ht="12.75" customHeight="1" thickBot="1" x14ac:dyDescent="0.25">
      <c r="A84" s="46" t="str">
        <f t="shared" si="12"/>
        <v>VSB 47 </v>
      </c>
      <c r="B84" s="17" t="str">
        <f t="shared" si="13"/>
        <v>I</v>
      </c>
      <c r="C84" s="46">
        <f t="shared" si="14"/>
        <v>51140.868000000002</v>
      </c>
      <c r="D84" s="14" t="str">
        <f t="shared" si="15"/>
        <v>CCD</v>
      </c>
      <c r="E84" s="54">
        <f>VLOOKUP(C84,Active!C$21:E$973,3,FALSE)</f>
        <v>12681.961894134443</v>
      </c>
      <c r="F84" s="17" t="str">
        <f>LEFT(M84,1)</f>
        <v>C</v>
      </c>
      <c r="G84" s="14" t="str">
        <f t="shared" si="16"/>
        <v>51140.868</v>
      </c>
      <c r="H84" s="46">
        <f t="shared" si="17"/>
        <v>-1741</v>
      </c>
      <c r="I84" s="55" t="s">
        <v>296</v>
      </c>
      <c r="J84" s="56" t="s">
        <v>297</v>
      </c>
      <c r="K84" s="55">
        <v>-1741</v>
      </c>
      <c r="L84" s="55" t="s">
        <v>229</v>
      </c>
      <c r="M84" s="56" t="s">
        <v>289</v>
      </c>
      <c r="N84" s="56" t="s">
        <v>36</v>
      </c>
      <c r="O84" s="57" t="s">
        <v>290</v>
      </c>
      <c r="P84" s="58" t="s">
        <v>291</v>
      </c>
    </row>
    <row r="85" spans="1:16" ht="12.75" customHeight="1" thickBot="1" x14ac:dyDescent="0.25">
      <c r="A85" s="46" t="str">
        <f t="shared" si="12"/>
        <v>VSB 38 </v>
      </c>
      <c r="B85" s="17" t="str">
        <f t="shared" si="13"/>
        <v>II</v>
      </c>
      <c r="C85" s="46">
        <f t="shared" si="14"/>
        <v>51755.124400000001</v>
      </c>
      <c r="D85" s="14" t="str">
        <f t="shared" si="15"/>
        <v>PE</v>
      </c>
      <c r="E85" s="54">
        <f>VLOOKUP(C85,Active!C$21:E$973,3,FALSE)</f>
        <v>13468.466549572486</v>
      </c>
      <c r="F85" s="17" t="str">
        <f>LEFT(M85,1)</f>
        <v>E</v>
      </c>
      <c r="G85" s="14" t="str">
        <f t="shared" si="16"/>
        <v>51755.1244</v>
      </c>
      <c r="H85" s="46">
        <f t="shared" si="17"/>
        <v>-954.5</v>
      </c>
      <c r="I85" s="55" t="s">
        <v>298</v>
      </c>
      <c r="J85" s="56" t="s">
        <v>299</v>
      </c>
      <c r="K85" s="55">
        <v>-954.5</v>
      </c>
      <c r="L85" s="55" t="s">
        <v>268</v>
      </c>
      <c r="M85" s="56" t="s">
        <v>180</v>
      </c>
      <c r="N85" s="56" t="s">
        <v>181</v>
      </c>
      <c r="O85" s="57" t="s">
        <v>300</v>
      </c>
      <c r="P85" s="58" t="s">
        <v>301</v>
      </c>
    </row>
    <row r="86" spans="1:16" ht="12.75" customHeight="1" thickBot="1" x14ac:dyDescent="0.25">
      <c r="A86" s="46" t="str">
        <f t="shared" si="12"/>
        <v>VSB 38 </v>
      </c>
      <c r="B86" s="17" t="str">
        <f t="shared" si="13"/>
        <v>I</v>
      </c>
      <c r="C86" s="46">
        <f t="shared" si="14"/>
        <v>51757.073400000001</v>
      </c>
      <c r="D86" s="14" t="str">
        <f t="shared" si="15"/>
        <v>PE</v>
      </c>
      <c r="E86" s="54">
        <f>VLOOKUP(C86,Active!C$21:E$973,3,FALSE)</f>
        <v>13470.96208331613</v>
      </c>
      <c r="F86" s="17" t="str">
        <f>LEFT(M86,1)</f>
        <v>E</v>
      </c>
      <c r="G86" s="14" t="str">
        <f t="shared" si="16"/>
        <v>51757.0734</v>
      </c>
      <c r="H86" s="46">
        <f t="shared" si="17"/>
        <v>-952</v>
      </c>
      <c r="I86" s="55" t="s">
        <v>302</v>
      </c>
      <c r="J86" s="56" t="s">
        <v>303</v>
      </c>
      <c r="K86" s="55">
        <v>-952</v>
      </c>
      <c r="L86" s="55" t="s">
        <v>304</v>
      </c>
      <c r="M86" s="56" t="s">
        <v>180</v>
      </c>
      <c r="N86" s="56" t="s">
        <v>181</v>
      </c>
      <c r="O86" s="57" t="s">
        <v>290</v>
      </c>
      <c r="P86" s="58" t="s">
        <v>301</v>
      </c>
    </row>
    <row r="87" spans="1:16" ht="12.75" customHeight="1" thickBot="1" x14ac:dyDescent="0.25">
      <c r="A87" s="46" t="str">
        <f t="shared" si="12"/>
        <v>VSB 39 </v>
      </c>
      <c r="B87" s="17" t="str">
        <f t="shared" si="13"/>
        <v>I</v>
      </c>
      <c r="C87" s="46">
        <f t="shared" si="14"/>
        <v>52171.001199999999</v>
      </c>
      <c r="D87" s="14" t="str">
        <f t="shared" si="15"/>
        <v>vis</v>
      </c>
      <c r="E87" s="54">
        <f>VLOOKUP(C87,Active!C$21:E$973,3,FALSE)</f>
        <v>14000.962489848689</v>
      </c>
      <c r="F87" s="17" t="s">
        <v>36</v>
      </c>
      <c r="G87" s="14" t="str">
        <f t="shared" si="16"/>
        <v>52171.0012</v>
      </c>
      <c r="H87" s="46">
        <f t="shared" si="17"/>
        <v>-422</v>
      </c>
      <c r="I87" s="55" t="s">
        <v>310</v>
      </c>
      <c r="J87" s="56" t="s">
        <v>311</v>
      </c>
      <c r="K87" s="55" t="s">
        <v>312</v>
      </c>
      <c r="L87" s="55" t="s">
        <v>313</v>
      </c>
      <c r="M87" s="56" t="s">
        <v>180</v>
      </c>
      <c r="N87" s="56" t="s">
        <v>181</v>
      </c>
      <c r="O87" s="57" t="s">
        <v>290</v>
      </c>
      <c r="P87" s="58" t="s">
        <v>314</v>
      </c>
    </row>
    <row r="88" spans="1:16" ht="12.75" customHeight="1" thickBot="1" x14ac:dyDescent="0.25">
      <c r="A88" s="46" t="str">
        <f t="shared" si="12"/>
        <v>VSB 40 </v>
      </c>
      <c r="B88" s="17" t="str">
        <f t="shared" si="13"/>
        <v>II</v>
      </c>
      <c r="C88" s="46">
        <f t="shared" si="14"/>
        <v>52529.089</v>
      </c>
      <c r="D88" s="14" t="str">
        <f t="shared" si="15"/>
        <v>vis</v>
      </c>
      <c r="E88" s="54">
        <f>VLOOKUP(C88,Active!C$21:E$973,3,FALSE)</f>
        <v>14459.46438214573</v>
      </c>
      <c r="F88" s="17" t="s">
        <v>36</v>
      </c>
      <c r="G88" s="14" t="str">
        <f t="shared" si="16"/>
        <v>52529.089</v>
      </c>
      <c r="H88" s="46">
        <f t="shared" si="17"/>
        <v>36.5</v>
      </c>
      <c r="I88" s="55" t="s">
        <v>315</v>
      </c>
      <c r="J88" s="56" t="s">
        <v>316</v>
      </c>
      <c r="K88" s="55" t="s">
        <v>317</v>
      </c>
      <c r="L88" s="55" t="s">
        <v>232</v>
      </c>
      <c r="M88" s="56" t="s">
        <v>180</v>
      </c>
      <c r="N88" s="56" t="s">
        <v>181</v>
      </c>
      <c r="O88" s="57" t="s">
        <v>290</v>
      </c>
      <c r="P88" s="58" t="s">
        <v>318</v>
      </c>
    </row>
    <row r="89" spans="1:16" ht="12.75" customHeight="1" thickBot="1" x14ac:dyDescent="0.25">
      <c r="A89" s="46" t="str">
        <f t="shared" si="12"/>
        <v>VSB 40 </v>
      </c>
      <c r="B89" s="17" t="str">
        <f t="shared" si="13"/>
        <v>II</v>
      </c>
      <c r="C89" s="46">
        <f t="shared" si="14"/>
        <v>52582.991099999999</v>
      </c>
      <c r="D89" s="14" t="str">
        <f t="shared" si="15"/>
        <v>vis</v>
      </c>
      <c r="E89" s="54">
        <f>VLOOKUP(C89,Active!C$21:E$973,3,FALSE)</f>
        <v>14528.481575272064</v>
      </c>
      <c r="F89" s="17" t="s">
        <v>36</v>
      </c>
      <c r="G89" s="14" t="str">
        <f t="shared" si="16"/>
        <v>52582.9911</v>
      </c>
      <c r="H89" s="46">
        <f t="shared" si="17"/>
        <v>105.5</v>
      </c>
      <c r="I89" s="55" t="s">
        <v>319</v>
      </c>
      <c r="J89" s="56" t="s">
        <v>320</v>
      </c>
      <c r="K89" s="55" t="s">
        <v>321</v>
      </c>
      <c r="L89" s="55" t="s">
        <v>322</v>
      </c>
      <c r="M89" s="56" t="s">
        <v>180</v>
      </c>
      <c r="N89" s="56" t="s">
        <v>181</v>
      </c>
      <c r="O89" s="57" t="s">
        <v>323</v>
      </c>
      <c r="P89" s="58" t="s">
        <v>318</v>
      </c>
    </row>
    <row r="90" spans="1:16" ht="12.75" customHeight="1" thickBot="1" x14ac:dyDescent="0.25">
      <c r="A90" s="46" t="str">
        <f t="shared" si="12"/>
        <v>VSB 42 </v>
      </c>
      <c r="B90" s="17" t="str">
        <f t="shared" si="13"/>
        <v>I</v>
      </c>
      <c r="C90" s="46">
        <f t="shared" si="14"/>
        <v>52951.997600000002</v>
      </c>
      <c r="D90" s="14" t="str">
        <f t="shared" si="15"/>
        <v>vis</v>
      </c>
      <c r="E90" s="54">
        <f>VLOOKUP(C90,Active!C$21:E$973,3,FALSE)</f>
        <v>15000.96396232884</v>
      </c>
      <c r="F90" s="17" t="s">
        <v>36</v>
      </c>
      <c r="G90" s="14" t="str">
        <f t="shared" si="16"/>
        <v>52951.9976</v>
      </c>
      <c r="H90" s="46">
        <f t="shared" si="17"/>
        <v>578</v>
      </c>
      <c r="I90" s="55" t="s">
        <v>324</v>
      </c>
      <c r="J90" s="56" t="s">
        <v>325</v>
      </c>
      <c r="K90" s="55" t="s">
        <v>326</v>
      </c>
      <c r="L90" s="55" t="s">
        <v>327</v>
      </c>
      <c r="M90" s="56" t="s">
        <v>180</v>
      </c>
      <c r="N90" s="56" t="s">
        <v>181</v>
      </c>
      <c r="O90" s="57" t="s">
        <v>328</v>
      </c>
      <c r="P90" s="58" t="s">
        <v>329</v>
      </c>
    </row>
    <row r="91" spans="1:16" ht="12.75" customHeight="1" thickBot="1" x14ac:dyDescent="0.25">
      <c r="A91" s="46" t="str">
        <f t="shared" si="12"/>
        <v>VSB 45 </v>
      </c>
      <c r="B91" s="17" t="str">
        <f t="shared" si="13"/>
        <v>I</v>
      </c>
      <c r="C91" s="46">
        <f t="shared" si="14"/>
        <v>53953.223400000003</v>
      </c>
      <c r="D91" s="14" t="str">
        <f t="shared" si="15"/>
        <v>vis</v>
      </c>
      <c r="E91" s="54">
        <f>VLOOKUP(C91,Active!C$21:E$973,3,FALSE)</f>
        <v>16282.951016667519</v>
      </c>
      <c r="F91" s="17" t="s">
        <v>36</v>
      </c>
      <c r="G91" s="14" t="str">
        <f t="shared" si="16"/>
        <v>53953.2234</v>
      </c>
      <c r="H91" s="46">
        <f t="shared" si="17"/>
        <v>1860</v>
      </c>
      <c r="I91" s="55" t="s">
        <v>340</v>
      </c>
      <c r="J91" s="56" t="s">
        <v>341</v>
      </c>
      <c r="K91" s="55" t="s">
        <v>342</v>
      </c>
      <c r="L91" s="55" t="s">
        <v>343</v>
      </c>
      <c r="M91" s="56" t="s">
        <v>180</v>
      </c>
      <c r="N91" s="56" t="s">
        <v>181</v>
      </c>
      <c r="O91" s="57" t="s">
        <v>344</v>
      </c>
      <c r="P91" s="58" t="s">
        <v>345</v>
      </c>
    </row>
    <row r="92" spans="1:16" ht="12.75" customHeight="1" thickBot="1" x14ac:dyDescent="0.25">
      <c r="A92" s="46" t="str">
        <f t="shared" si="12"/>
        <v>OEJV 0137 </v>
      </c>
      <c r="B92" s="17" t="str">
        <f t="shared" si="13"/>
        <v>I</v>
      </c>
      <c r="C92" s="46">
        <f t="shared" si="14"/>
        <v>55075.515800000001</v>
      </c>
      <c r="D92" s="14" t="str">
        <f t="shared" si="15"/>
        <v>vis</v>
      </c>
      <c r="E92" s="54">
        <f>VLOOKUP(C92,Active!C$21:E$973,3,FALSE)</f>
        <v>17719.953866556811</v>
      </c>
      <c r="F92" s="17" t="s">
        <v>36</v>
      </c>
      <c r="G92" s="14" t="str">
        <f t="shared" si="16"/>
        <v>55075.5158</v>
      </c>
      <c r="H92" s="46">
        <f t="shared" si="17"/>
        <v>3297</v>
      </c>
      <c r="I92" s="55" t="s">
        <v>351</v>
      </c>
      <c r="J92" s="56" t="s">
        <v>352</v>
      </c>
      <c r="K92" s="55" t="s">
        <v>353</v>
      </c>
      <c r="L92" s="55" t="s">
        <v>354</v>
      </c>
      <c r="M92" s="56" t="s">
        <v>289</v>
      </c>
      <c r="N92" s="56" t="s">
        <v>63</v>
      </c>
      <c r="O92" s="57" t="s">
        <v>355</v>
      </c>
      <c r="P92" s="58" t="s">
        <v>356</v>
      </c>
    </row>
    <row r="93" spans="1:16" ht="12.75" customHeight="1" thickBot="1" x14ac:dyDescent="0.25">
      <c r="A93" s="46" t="str">
        <f t="shared" si="12"/>
        <v>VSB 50 </v>
      </c>
      <c r="B93" s="17" t="str">
        <f t="shared" si="13"/>
        <v>I</v>
      </c>
      <c r="C93" s="46">
        <f t="shared" si="14"/>
        <v>55088.000800000002</v>
      </c>
      <c r="D93" s="14" t="str">
        <f t="shared" si="15"/>
        <v>vis</v>
      </c>
      <c r="E93" s="54">
        <f>VLOOKUP(C93,Active!C$21:E$973,3,FALSE)</f>
        <v>17735.939879275837</v>
      </c>
      <c r="F93" s="17" t="s">
        <v>36</v>
      </c>
      <c r="G93" s="14" t="str">
        <f t="shared" si="16"/>
        <v>55088.0008</v>
      </c>
      <c r="H93" s="46">
        <f t="shared" si="17"/>
        <v>3313</v>
      </c>
      <c r="I93" s="55" t="s">
        <v>357</v>
      </c>
      <c r="J93" s="56" t="s">
        <v>358</v>
      </c>
      <c r="K93" s="55" t="s">
        <v>359</v>
      </c>
      <c r="L93" s="55" t="s">
        <v>360</v>
      </c>
      <c r="M93" s="56" t="s">
        <v>289</v>
      </c>
      <c r="N93" s="56" t="s">
        <v>361</v>
      </c>
      <c r="O93" s="57" t="s">
        <v>290</v>
      </c>
      <c r="P93" s="58" t="s">
        <v>362</v>
      </c>
    </row>
    <row r="94" spans="1:16" ht="12.75" customHeight="1" thickBot="1" x14ac:dyDescent="0.25">
      <c r="A94" s="46" t="str">
        <f t="shared" si="12"/>
        <v>VSB 51 </v>
      </c>
      <c r="B94" s="17" t="str">
        <f t="shared" si="13"/>
        <v>II</v>
      </c>
      <c r="C94" s="46">
        <f t="shared" si="14"/>
        <v>55457.021999999997</v>
      </c>
      <c r="D94" s="14" t="str">
        <f t="shared" si="15"/>
        <v>vis</v>
      </c>
      <c r="E94" s="54">
        <f>VLOOKUP(C94,Active!C$21:E$973,3,FALSE)</f>
        <v>18208.441088470125</v>
      </c>
      <c r="F94" s="17" t="s">
        <v>36</v>
      </c>
      <c r="G94" s="14" t="str">
        <f t="shared" si="16"/>
        <v>55457.0220</v>
      </c>
      <c r="H94" s="46">
        <f t="shared" si="17"/>
        <v>3785.5</v>
      </c>
      <c r="I94" s="55" t="s">
        <v>363</v>
      </c>
      <c r="J94" s="56" t="s">
        <v>364</v>
      </c>
      <c r="K94" s="55" t="s">
        <v>365</v>
      </c>
      <c r="L94" s="55" t="s">
        <v>307</v>
      </c>
      <c r="M94" s="56" t="s">
        <v>289</v>
      </c>
      <c r="N94" s="56" t="s">
        <v>361</v>
      </c>
      <c r="O94" s="57" t="s">
        <v>290</v>
      </c>
      <c r="P94" s="58" t="s">
        <v>366</v>
      </c>
    </row>
    <row r="95" spans="1:16" ht="12.75" customHeight="1" thickBot="1" x14ac:dyDescent="0.25">
      <c r="A95" s="46" t="str">
        <f t="shared" si="12"/>
        <v>VSB 53 </v>
      </c>
      <c r="B95" s="17" t="str">
        <f t="shared" si="13"/>
        <v>I</v>
      </c>
      <c r="C95" s="46">
        <f t="shared" si="14"/>
        <v>55811.976999999999</v>
      </c>
      <c r="D95" s="14" t="str">
        <f t="shared" si="15"/>
        <v>vis</v>
      </c>
      <c r="E95" s="54">
        <f>VLOOKUP(C95,Active!C$21:E$973,3,FALSE)</f>
        <v>18662.931688765071</v>
      </c>
      <c r="F95" s="17" t="s">
        <v>36</v>
      </c>
      <c r="G95" s="14" t="str">
        <f t="shared" si="16"/>
        <v>55811.977</v>
      </c>
      <c r="H95" s="46">
        <f t="shared" si="17"/>
        <v>4240</v>
      </c>
      <c r="I95" s="55" t="s">
        <v>367</v>
      </c>
      <c r="J95" s="56" t="s">
        <v>368</v>
      </c>
      <c r="K95" s="55" t="s">
        <v>369</v>
      </c>
      <c r="L95" s="55" t="s">
        <v>370</v>
      </c>
      <c r="M95" s="56" t="s">
        <v>289</v>
      </c>
      <c r="N95" s="56" t="s">
        <v>371</v>
      </c>
      <c r="O95" s="57" t="s">
        <v>290</v>
      </c>
      <c r="P95" s="58" t="s">
        <v>372</v>
      </c>
    </row>
    <row r="96" spans="1:16" ht="12.75" customHeight="1" thickBot="1" x14ac:dyDescent="0.25">
      <c r="A96" s="46" t="str">
        <f t="shared" si="12"/>
        <v>VSB 53 </v>
      </c>
      <c r="B96" s="17" t="str">
        <f t="shared" si="13"/>
        <v>I</v>
      </c>
      <c r="C96" s="46">
        <f t="shared" si="14"/>
        <v>55811.976999999999</v>
      </c>
      <c r="D96" s="14" t="str">
        <f t="shared" si="15"/>
        <v>vis</v>
      </c>
      <c r="E96" s="54">
        <f>VLOOKUP(C96,Active!C$21:E$973,3,FALSE)</f>
        <v>18662.931688765071</v>
      </c>
      <c r="F96" s="17" t="s">
        <v>36</v>
      </c>
      <c r="G96" s="14" t="str">
        <f t="shared" si="16"/>
        <v>55811.977</v>
      </c>
      <c r="H96" s="46">
        <f t="shared" si="17"/>
        <v>4240</v>
      </c>
      <c r="I96" s="55" t="s">
        <v>367</v>
      </c>
      <c r="J96" s="56" t="s">
        <v>368</v>
      </c>
      <c r="K96" s="55" t="s">
        <v>369</v>
      </c>
      <c r="L96" s="55" t="s">
        <v>370</v>
      </c>
      <c r="M96" s="56" t="s">
        <v>289</v>
      </c>
      <c r="N96" s="56" t="s">
        <v>361</v>
      </c>
      <c r="O96" s="57" t="s">
        <v>290</v>
      </c>
      <c r="P96" s="58" t="s">
        <v>372</v>
      </c>
    </row>
    <row r="97" spans="1:16" ht="12.75" customHeight="1" thickBot="1" x14ac:dyDescent="0.25">
      <c r="A97" s="46" t="str">
        <f t="shared" si="12"/>
        <v>VSB 59 </v>
      </c>
      <c r="B97" s="17" t="str">
        <f t="shared" si="13"/>
        <v>II</v>
      </c>
      <c r="C97" s="46">
        <f t="shared" si="14"/>
        <v>56865.137699999999</v>
      </c>
      <c r="D97" s="14" t="str">
        <f t="shared" si="15"/>
        <v>vis</v>
      </c>
      <c r="E97" s="54">
        <f>VLOOKUP(C97,Active!C$21:E$973,3,FALSE)</f>
        <v>20011.417098887607</v>
      </c>
      <c r="F97" s="17" t="s">
        <v>36</v>
      </c>
      <c r="G97" s="14" t="str">
        <f t="shared" si="16"/>
        <v>56865.1377</v>
      </c>
      <c r="H97" s="46">
        <f t="shared" si="17"/>
        <v>5588.5</v>
      </c>
      <c r="I97" s="55" t="s">
        <v>379</v>
      </c>
      <c r="J97" s="56" t="s">
        <v>380</v>
      </c>
      <c r="K97" s="55" t="s">
        <v>381</v>
      </c>
      <c r="L97" s="55" t="s">
        <v>382</v>
      </c>
      <c r="M97" s="56" t="s">
        <v>289</v>
      </c>
      <c r="N97" s="56" t="s">
        <v>361</v>
      </c>
      <c r="O97" s="57" t="s">
        <v>290</v>
      </c>
      <c r="P97" s="58" t="s">
        <v>383</v>
      </c>
    </row>
    <row r="98" spans="1:16" x14ac:dyDescent="0.2">
      <c r="B98" s="17"/>
      <c r="F98" s="17"/>
    </row>
    <row r="99" spans="1:16" x14ac:dyDescent="0.2">
      <c r="B99" s="17"/>
      <c r="F99" s="17"/>
    </row>
    <row r="100" spans="1:16" x14ac:dyDescent="0.2">
      <c r="B100" s="17"/>
      <c r="F100" s="17"/>
    </row>
    <row r="101" spans="1:16" x14ac:dyDescent="0.2">
      <c r="B101" s="17"/>
      <c r="F101" s="17"/>
    </row>
    <row r="102" spans="1:16" x14ac:dyDescent="0.2">
      <c r="B102" s="17"/>
      <c r="F102" s="17"/>
    </row>
    <row r="103" spans="1:16" x14ac:dyDescent="0.2">
      <c r="B103" s="17"/>
      <c r="F103" s="17"/>
    </row>
    <row r="104" spans="1:16" x14ac:dyDescent="0.2">
      <c r="B104" s="17"/>
      <c r="F104" s="17"/>
    </row>
    <row r="105" spans="1:16" x14ac:dyDescent="0.2">
      <c r="B105" s="17"/>
      <c r="F105" s="17"/>
    </row>
    <row r="106" spans="1:16" x14ac:dyDescent="0.2">
      <c r="B106" s="17"/>
      <c r="F106" s="17"/>
    </row>
    <row r="107" spans="1:16" x14ac:dyDescent="0.2">
      <c r="B107" s="17"/>
      <c r="F107" s="17"/>
    </row>
    <row r="108" spans="1:16" x14ac:dyDescent="0.2">
      <c r="B108" s="17"/>
      <c r="F108" s="17"/>
    </row>
    <row r="109" spans="1:16" x14ac:dyDescent="0.2">
      <c r="B109" s="17"/>
      <c r="F109" s="17"/>
    </row>
    <row r="110" spans="1:16" x14ac:dyDescent="0.2">
      <c r="B110" s="17"/>
      <c r="F110" s="17"/>
    </row>
    <row r="111" spans="1:16" x14ac:dyDescent="0.2">
      <c r="B111" s="17"/>
      <c r="F111" s="17"/>
    </row>
    <row r="112" spans="1:1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</sheetData>
  <phoneticPr fontId="8" type="noConversion"/>
  <hyperlinks>
    <hyperlink ref="A3" r:id="rId1" xr:uid="{00000000-0004-0000-0100-000000000000}"/>
    <hyperlink ref="P12" r:id="rId2" display="http://www.konkoly.hu/cgi-bin/IBVS?3277" xr:uid="{00000000-0004-0000-0100-000001000000}"/>
    <hyperlink ref="P13" r:id="rId3" display="http://www.konkoly.hu/cgi-bin/IBVS?3277" xr:uid="{00000000-0004-0000-0100-000002000000}"/>
    <hyperlink ref="P14" r:id="rId4" display="http://www.konkoly.hu/cgi-bin/IBVS?2159" xr:uid="{00000000-0004-0000-0100-000003000000}"/>
    <hyperlink ref="P19" r:id="rId5" display="http://www.bav-astro.de/sfs/BAVM_link.php?BAVMnr=46" xr:uid="{00000000-0004-0000-0100-000004000000}"/>
    <hyperlink ref="P23" r:id="rId6" display="http://www.bav-astro.de/sfs/BAVM_link.php?BAVMnr=50" xr:uid="{00000000-0004-0000-0100-000005000000}"/>
    <hyperlink ref="P81" r:id="rId7" display="http://www.konkoly.hu/cgi-bin/IBVS?3423" xr:uid="{00000000-0004-0000-0100-000006000000}"/>
    <hyperlink ref="P24" r:id="rId8" display="http://www.bav-astro.de/sfs/BAVM_link.php?BAVMnr=56" xr:uid="{00000000-0004-0000-0100-000007000000}"/>
    <hyperlink ref="P25" r:id="rId9" display="http://www.bav-astro.de/sfs/BAVM_link.php?BAVMnr=60" xr:uid="{00000000-0004-0000-0100-000008000000}"/>
    <hyperlink ref="P82" r:id="rId10" display="http://www.bav-astro.de/sfs/BAVM_link.php?BAVMnr=60" xr:uid="{00000000-0004-0000-0100-000009000000}"/>
    <hyperlink ref="P26" r:id="rId11" display="http://www.bav-astro.de/sfs/BAVM_link.php?BAVMnr=99" xr:uid="{00000000-0004-0000-0100-00000A000000}"/>
    <hyperlink ref="P83" r:id="rId12" display="http://vsolj.cetus-net.org/no47.pdf" xr:uid="{00000000-0004-0000-0100-00000B000000}"/>
    <hyperlink ref="P27" r:id="rId13" display="http://www.bav-astro.de/sfs/BAVM_link.php?BAVMnr=111" xr:uid="{00000000-0004-0000-0100-00000C000000}"/>
    <hyperlink ref="P84" r:id="rId14" display="http://vsolj.cetus-net.org/no47.pdf" xr:uid="{00000000-0004-0000-0100-00000D000000}"/>
    <hyperlink ref="P85" r:id="rId15" display="http://vsolj.cetus-net.org/no38.pdf" xr:uid="{00000000-0004-0000-0100-00000E000000}"/>
    <hyperlink ref="P86" r:id="rId16" display="http://vsolj.cetus-net.org/no38.pdf" xr:uid="{00000000-0004-0000-0100-00000F000000}"/>
    <hyperlink ref="P28" r:id="rId17" display="http://www.bav-astro.de/sfs/BAVM_link.php?BAVMnr=152" xr:uid="{00000000-0004-0000-0100-000010000000}"/>
    <hyperlink ref="P87" r:id="rId18" display="http://vsolj.cetus-net.org/no39.pdf" xr:uid="{00000000-0004-0000-0100-000011000000}"/>
    <hyperlink ref="P88" r:id="rId19" display="http://vsolj.cetus-net.org/no40.pdf" xr:uid="{00000000-0004-0000-0100-000012000000}"/>
    <hyperlink ref="P89" r:id="rId20" display="http://vsolj.cetus-net.org/no40.pdf" xr:uid="{00000000-0004-0000-0100-000013000000}"/>
    <hyperlink ref="P90" r:id="rId21" display="http://vsolj.cetus-net.org/no42.pdf" xr:uid="{00000000-0004-0000-0100-000014000000}"/>
    <hyperlink ref="P29" r:id="rId22" display="http://www.konkoly.hu/cgi-bin/IBVS?5843" xr:uid="{00000000-0004-0000-0100-000015000000}"/>
    <hyperlink ref="P30" r:id="rId23" display="http://www.konkoly.hu/cgi-bin/IBVS?5843" xr:uid="{00000000-0004-0000-0100-000016000000}"/>
    <hyperlink ref="P91" r:id="rId24" display="http://vsolj.cetus-net.org/no45.pdf" xr:uid="{00000000-0004-0000-0100-000017000000}"/>
    <hyperlink ref="P31" r:id="rId25" display="http://www.bav-astro.de/sfs/BAVM_link.php?BAVMnr=183" xr:uid="{00000000-0004-0000-0100-000018000000}"/>
    <hyperlink ref="P92" r:id="rId26" display="http://var.astro.cz/oejv/issues/oejv0137.pdf" xr:uid="{00000000-0004-0000-0100-000019000000}"/>
    <hyperlink ref="P93" r:id="rId27" display="http://vsolj.cetus-net.org/vsoljno50.pdf" xr:uid="{00000000-0004-0000-0100-00001A000000}"/>
    <hyperlink ref="P94" r:id="rId28" display="http://vsolj.cetus-net.org/vsoljno51.pdf" xr:uid="{00000000-0004-0000-0100-00001B000000}"/>
    <hyperlink ref="P95" r:id="rId29" display="http://vsolj.cetus-net.org/vsoljno53.pdf" xr:uid="{00000000-0004-0000-0100-00001C000000}"/>
    <hyperlink ref="P96" r:id="rId30" display="http://vsolj.cetus-net.org/vsoljno53.pdf" xr:uid="{00000000-0004-0000-0100-00001D000000}"/>
    <hyperlink ref="P32" r:id="rId31" display="http://www.konkoly.hu/cgi-bin/IBVS?6011" xr:uid="{00000000-0004-0000-0100-00001E000000}"/>
    <hyperlink ref="P97" r:id="rId32" display="http://vsolj.cetus-net.org/vsoljno59.pdf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2023-08-07T00:18:47Z</dcterms:modified>
</cp:coreProperties>
</file>