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D790A0A-165C-492B-98FD-194425225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Q31" i="1"/>
  <c r="D9" i="1"/>
  <c r="C9" i="1"/>
  <c r="E22" i="1"/>
  <c r="F22" i="1" s="1"/>
  <c r="G22" i="1" s="1"/>
  <c r="I22" i="1" s="1"/>
  <c r="E28" i="1"/>
  <c r="F28" i="1" s="1"/>
  <c r="G28" i="1" s="1"/>
  <c r="J28" i="1" s="1"/>
  <c r="F16" i="1"/>
  <c r="Q29" i="1"/>
  <c r="Q30" i="1"/>
  <c r="C17" i="1"/>
  <c r="Q26" i="1"/>
  <c r="Q28" i="1"/>
  <c r="Q27" i="1"/>
  <c r="Q22" i="1"/>
  <c r="Q23" i="1"/>
  <c r="Q24" i="1"/>
  <c r="Q25" i="1"/>
  <c r="E23" i="1"/>
  <c r="F23" i="1" s="1"/>
  <c r="G23" i="1" s="1"/>
  <c r="K23" i="1" s="1"/>
  <c r="E27" i="1"/>
  <c r="F27" i="1"/>
  <c r="U27" i="1" s="1"/>
  <c r="Q21" i="1"/>
  <c r="E25" i="1"/>
  <c r="F25" i="1" s="1"/>
  <c r="G25" i="1" s="1"/>
  <c r="I25" i="1" s="1"/>
  <c r="E24" i="1"/>
  <c r="F24" i="1"/>
  <c r="G24" i="1" s="1"/>
  <c r="I24" i="1" s="1"/>
  <c r="E30" i="1"/>
  <c r="F30" i="1" s="1"/>
  <c r="G30" i="1" s="1"/>
  <c r="I30" i="1" s="1"/>
  <c r="E21" i="1"/>
  <c r="F21" i="1"/>
  <c r="G21" i="1" s="1"/>
  <c r="H21" i="1" s="1"/>
  <c r="E26" i="1"/>
  <c r="F26" i="1" s="1"/>
  <c r="G26" i="1" s="1"/>
  <c r="K26" i="1" s="1"/>
  <c r="E31" i="1"/>
  <c r="F31" i="1" s="1"/>
  <c r="G31" i="1" s="1"/>
  <c r="K31" i="1" s="1"/>
  <c r="E29" i="1"/>
  <c r="F29" i="1" s="1"/>
  <c r="G29" i="1" s="1"/>
  <c r="I29" i="1" s="1"/>
  <c r="C11" i="1"/>
  <c r="C12" i="1"/>
  <c r="O32" i="1" l="1"/>
  <c r="O21" i="1"/>
  <c r="O29" i="1"/>
  <c r="O23" i="1"/>
  <c r="C15" i="1"/>
  <c r="O27" i="1"/>
  <c r="O25" i="1"/>
  <c r="O28" i="1"/>
  <c r="O31" i="1"/>
  <c r="O24" i="1"/>
  <c r="O26" i="1"/>
  <c r="O22" i="1"/>
  <c r="O30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<sst xmlns="http://schemas.openxmlformats.org/spreadsheetml/2006/main" count="78" uniqueCount="61">
  <si>
    <t>VSB-063</t>
  </si>
  <si>
    <t>BAD?</t>
  </si>
  <si>
    <t>V</t>
  </si>
  <si>
    <t>OEJV 0181</t>
  </si>
  <si>
    <t>Add cycle</t>
  </si>
  <si>
    <t>Old Cycle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</si>
  <si>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</si>
  <si>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</si>
  <si>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</si>
  <si>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</si>
  <si>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</si>
  <si>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</si>
  <si>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</si>
  <si>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</si>
  <si>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</si>
  <si>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</si>
  <si>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</si>
  <si>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</si>
  <si>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</si>
  <si>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</si>
  <si>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</si>
  <si>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</si>
  <si>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</si>
  <si>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</si>
  <si>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</si>
  <si>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</si>
  <si>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</si>
  <si>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</si>
  <si>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</si>
  <si>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</si>
  <si>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</si>
  <si>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</si>
  <si>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</si>
  <si>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</si>
  <si>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</si>
  <si>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</si>
  <si>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</si>
  <si>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</si>
  <si>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Diethelm R</t>
  </si>
  <si>
    <t>BBSAG Bull.74</t>
  </si>
  <si>
    <t>B</t>
  </si>
  <si>
    <t>BAAVSS 66,32</t>
  </si>
  <si>
    <t>K</t>
  </si>
  <si>
    <t>N</t>
  </si>
  <si>
    <t>BBSAG Bull.104</t>
  </si>
  <si>
    <t>II</t>
  </si>
  <si>
    <t>IBVS 5657</t>
  </si>
  <si>
    <t>EA/DM:</t>
  </si>
  <si>
    <t>EO Aur / GSC 2402-1191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</si>
  <si>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</si>
  <si>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</si>
  <si>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</si>
  <si>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</si>
  <si>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</si>
  <si>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</si>
  <si>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</si>
  <si>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</si>
  <si>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</t>
  </si>
  <si>
    <t>Start of linear fit &gt;&gt;&gt;&gt;&gt;&gt;&gt;&gt;&gt;&gt;&gt;&gt;&gt;&gt;&gt;&gt;&gt;&gt;&gt;&gt;&gt;</t>
  </si>
  <si>
    <t>vis</t>
  </si>
  <si>
    <t>BAAVSSC187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</si>
</sst>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2" fillId="0" borderId="10" xfId="0" applyFont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>
      <alignment vertical="top"/>
    </xf>
    <xf numFmtId="0" fontId="6" fillId="0" borderId="0" xfId="0" applyFont="1" applyAlignment="1">
      <alignment wrapText="1"/>
    </xf>
    <xf numFmtId="0" fontId="9" fillId="0" borderId="0" xfId="41" applyFont="1" applyAlignment="1">
      <alignment horizontal="left"/>
    </xf>
    <xf numFmtId="165" fontId="34" fillId="0" borderId="0" xfId="0" applyNumberFormat="1" applyFont="1" applyAlignment="1">
      <alignment horizontal="righ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EO Aur - O-C Diagr.</a:t>
            </a:r>
          </a:p>
        </c:rich>
      </c:tx>
      <c:layout>
        <c:manualLayout>
          <c:xMode val="edge"/>
          <c:yMode val="edge"/>
          <c:x val="0.383775351014040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769252958613219"/>
          <c:w val="0.81591263650546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53-42B4-B771-4E1DDCC6E6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2.7887039999768604E-2</c:v>
                </c:pt>
                <c:pt idx="3">
                  <c:v>4.074370000307681E-2</c:v>
                </c:pt>
                <c:pt idx="4">
                  <c:v>3.2790119999845047E-2</c:v>
                </c:pt>
                <c:pt idx="8">
                  <c:v>5.7077240002399776E-2</c:v>
                </c:pt>
                <c:pt idx="9">
                  <c:v>6.4895859999523964E-2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53-42B4-B771-4E1DDCC6E6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3.6519319997751154E-2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53-42B4-B771-4E1DDCC6E6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1.5802359994268045E-2</c:v>
                </c:pt>
                <c:pt idx="5">
                  <c:v>4.050608000397915E-2</c:v>
                </c:pt>
                <c:pt idx="10">
                  <c:v>5.546815999696264E-2</c:v>
                </c:pt>
                <c:pt idx="11">
                  <c:v>6.2068760002148338E-2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53-42B4-B771-4E1DDCC6E6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53-42B4-B771-4E1DDCC6E6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53-42B4-B771-4E1DDCC6E6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1.2E-2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8.0000000000000002E-3</c:v>
                  </c:pt>
                  <c:pt idx="8">
                    <c:v>0.01</c:v>
                  </c:pt>
                  <c:pt idx="9">
                    <c:v>0.02</c:v>
                  </c:pt>
                  <c:pt idx="10">
                    <c:v>0</c:v>
                  </c:pt>
                  <c:pt idx="11">
                    <c:v>8.8999999999999995E-4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53-42B4-B771-4E1DDCC6E6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-4.8208721313935554E-2</c:v>
                </c:pt>
                <c:pt idx="1">
                  <c:v>2.3449225818129707E-2</c:v>
                </c:pt>
                <c:pt idx="2">
                  <c:v>2.4705353004094807E-2</c:v>
                </c:pt>
                <c:pt idx="3">
                  <c:v>3.0240530276828881E-2</c:v>
                </c:pt>
                <c:pt idx="4">
                  <c:v>3.2054284017311196E-2</c:v>
                </c:pt>
                <c:pt idx="5">
                  <c:v>4.4627295383373108E-2</c:v>
                </c:pt>
                <c:pt idx="6">
                  <c:v>4.4756429953892896E-2</c:v>
                </c:pt>
                <c:pt idx="7">
                  <c:v>4.578950651805111E-2</c:v>
                </c:pt>
                <c:pt idx="8">
                  <c:v>5.7435096877652803E-2</c:v>
                </c:pt>
                <c:pt idx="9">
                  <c:v>5.7429227124447355E-2</c:v>
                </c:pt>
                <c:pt idx="10">
                  <c:v>5.6460717845549027E-2</c:v>
                </c:pt>
                <c:pt idx="11">
                  <c:v>6.1567403134285659E-2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53-42B4-B771-4E1DDCC6E6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6104</c:v>
                </c:pt>
                <c:pt idx="2">
                  <c:v>6211</c:v>
                </c:pt>
                <c:pt idx="3">
                  <c:v>6682.5</c:v>
                </c:pt>
                <c:pt idx="4">
                  <c:v>6837</c:v>
                </c:pt>
                <c:pt idx="5">
                  <c:v>7908</c:v>
                </c:pt>
                <c:pt idx="6">
                  <c:v>7919</c:v>
                </c:pt>
                <c:pt idx="7">
                  <c:v>8007</c:v>
                </c:pt>
                <c:pt idx="8">
                  <c:v>8999</c:v>
                </c:pt>
                <c:pt idx="9">
                  <c:v>8998.5</c:v>
                </c:pt>
                <c:pt idx="10">
                  <c:v>8916</c:v>
                </c:pt>
                <c:pt idx="11">
                  <c:v>9351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6">
                  <c:v>1.1096440000983421E-2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53-42B4-B771-4E1DDCC6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125608"/>
        <c:axId val="1"/>
      </c:scatterChart>
      <c:valAx>
        <c:axId val="45312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2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669266770671"/>
          <c:y val="0.92000129214617399"/>
          <c:w val="0.7503900156006240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581025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196B76-DC8B-5171-8EB0-8B8777C53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  <c r="B1" s="11"/>
      <c r="C1" s="12"/>
    </row>
    <row r="2" spans="1:6" x14ac:dyDescent="0.2">
      <c r="A2" t="s">
        <v>33</v>
      </c>
      <c r="B2" s="10" t="s">
        <v>47</v>
      </c>
    </row>
    <row r="4" spans="1:6" ht="14.25" thickTop="1" thickBot="1" x14ac:dyDescent="0.25">
      <c r="A4" s="6" t="s">
        <v>9</v>
      </c>
      <c r="C4" s="2">
        <v>21190.741399999999</v>
      </c>
      <c r="D4" s="3">
        <v>4.06563724</v>
      </c>
    </row>
    <row r="5" spans="1:6" ht="13.5" thickTop="1" x14ac:dyDescent="0.2">
      <c r="A5" s="14" t="s">
        <v>51</v>
      </c>
      <c r="B5" s="13"/>
      <c r="C5" s="15">
        <v>-9.5</v>
      </c>
      <c r="D5" s="13" t="s">
        <v>52</v>
      </c>
    </row>
    <row r="6" spans="1:6" x14ac:dyDescent="0.2">
      <c r="A6" s="6" t="s">
        <v>10</v>
      </c>
    </row>
    <row r="7" spans="1:6" x14ac:dyDescent="0.2">
      <c r="A7" t="s">
        <v>11</v>
      </c>
      <c r="C7">
        <v>21190.741399999999</v>
      </c>
    </row>
    <row r="8" spans="1:6" x14ac:dyDescent="0.2">
      <c r="A8" t="s">
        <v>12</v>
      </c>
      <c r="C8">
        <v>4.06563724</v>
      </c>
    </row>
    <row r="9" spans="1:6" x14ac:dyDescent="0.2">
      <c r="A9" s="28" t="s">
        <v>58</v>
      </c>
      <c r="B9" s="29">
        <v>22</v>
      </c>
      <c r="C9" s="17" t="str">
        <f>"F"&amp;B9</f>
        <v>F22</v>
      </c>
      <c r="D9" s="18" t="str">
        <f>"G"&amp;B9</f>
        <v>G22</v>
      </c>
    </row>
    <row r="10" spans="1:6" ht="13.5" thickBot="1" x14ac:dyDescent="0.25">
      <c r="A10" s="13"/>
      <c r="B10" s="13"/>
      <c r="C10" s="5" t="s">
        <v>29</v>
      </c>
      <c r="D10" s="5" t="s">
        <v>30</v>
      </c>
      <c r="E10" s="13"/>
    </row>
    <row r="11" spans="1:6" x14ac:dyDescent="0.2">
      <c r="A11" s="13" t="s">
        <v>25</v>
      </c>
      <c r="B11" s="13"/>
      <c r="C11" s="16">
        <f ca="1">INTERCEPT(INDIRECT($D$9):G992,INDIRECT($C$9):F992)</f>
        <v>-4.8208721313935554E-2</v>
      </c>
      <c r="D11" s="4"/>
      <c r="E11" s="13"/>
    </row>
    <row r="12" spans="1:6" x14ac:dyDescent="0.2">
      <c r="A12" s="13" t="s">
        <v>26</v>
      </c>
      <c r="B12" s="13"/>
      <c r="C12" s="16">
        <f ca="1">SLOPE(INDIRECT($D$9):G992,INDIRECT($C$9):F992)</f>
        <v>1.1739506410888805E-5</v>
      </c>
      <c r="D12" s="4"/>
      <c r="E12" s="13"/>
    </row>
    <row r="13" spans="1:6" x14ac:dyDescent="0.2">
      <c r="A13" s="13" t="s">
        <v>28</v>
      </c>
      <c r="B13" s="13"/>
      <c r="C13" s="4" t="s">
        <v>23</v>
      </c>
    </row>
    <row r="14" spans="1:6" x14ac:dyDescent="0.2">
      <c r="A14" s="13"/>
      <c r="B14" s="13"/>
      <c r="C14" s="13"/>
    </row>
    <row r="15" spans="1:6" x14ac:dyDescent="0.2">
      <c r="A15" s="19" t="s">
        <v>27</v>
      </c>
      <c r="B15" s="13"/>
      <c r="C15" s="20">
        <f ca="1">(C7+C11)+(C8+C12)*INT(MAX(F21:F3533))</f>
        <v>59208.576798643131</v>
      </c>
      <c r="E15" s="21" t="s">
        <v>4</v>
      </c>
      <c r="F15" s="38">
        <v>1</v>
      </c>
    </row>
    <row r="16" spans="1:6" x14ac:dyDescent="0.2">
      <c r="A16" s="23" t="s">
        <v>13</v>
      </c>
      <c r="B16" s="13"/>
      <c r="C16" s="24">
        <f ca="1">+C8+C12</f>
        <v>4.0656489795064106</v>
      </c>
      <c r="E16" s="21" t="s">
        <v>53</v>
      </c>
      <c r="F16" s="39">
        <f ca="1">NOW()+15018.5+$C$5/24</f>
        <v>60093.709961805551</v>
      </c>
    </row>
    <row r="17" spans="1:35" ht="13.5" thickBot="1" x14ac:dyDescent="0.25">
      <c r="A17" s="21" t="s">
        <v>50</v>
      </c>
      <c r="B17" s="13"/>
      <c r="C17" s="13">
        <f>COUNT(C21:C2191)</f>
        <v>12</v>
      </c>
      <c r="E17" s="21" t="s">
        <v>5</v>
      </c>
      <c r="F17" s="22">
        <f ca="1">ROUND(2*(F16-$C$7)/$C$8,0)/2+F15</f>
        <v>9569.5</v>
      </c>
    </row>
    <row r="18" spans="1:35" ht="14.25" thickTop="1" thickBot="1" x14ac:dyDescent="0.25">
      <c r="A18" s="23" t="s">
        <v>14</v>
      </c>
      <c r="B18" s="13"/>
      <c r="C18" s="26">
        <f ca="1">+C15</f>
        <v>59208.576798643131</v>
      </c>
      <c r="D18" s="27">
        <f ca="1">+C16</f>
        <v>4.0656489795064106</v>
      </c>
      <c r="E18" s="21" t="s">
        <v>54</v>
      </c>
      <c r="F18" s="18">
        <f ca="1">ROUND(2*(F16-$C$15)/$C$16,0)/2+F15</f>
        <v>218.5</v>
      </c>
    </row>
    <row r="19" spans="1:35" ht="13.5" thickTop="1" x14ac:dyDescent="0.2">
      <c r="E19" s="21" t="s">
        <v>55</v>
      </c>
      <c r="F19" s="25">
        <f ca="1">+$C$15+$C$16*F18-15018.5-$C$5/24</f>
        <v>45078.81693399862</v>
      </c>
    </row>
    <row r="20" spans="1:35" ht="13.5" thickBot="1" x14ac:dyDescent="0.25">
      <c r="A20" s="5" t="s">
        <v>15</v>
      </c>
      <c r="B20" s="5" t="s">
        <v>16</v>
      </c>
      <c r="C20" s="5" t="s">
        <v>17</v>
      </c>
      <c r="D20" s="5" t="s">
        <v>22</v>
      </c>
      <c r="E20" s="5" t="s">
        <v>18</v>
      </c>
      <c r="F20" s="5" t="s">
        <v>19</v>
      </c>
      <c r="G20" s="5" t="s">
        <v>20</v>
      </c>
      <c r="H20" s="8" t="s">
        <v>8</v>
      </c>
      <c r="I20" s="8" t="s">
        <v>59</v>
      </c>
      <c r="J20" s="8" t="s">
        <v>6</v>
      </c>
      <c r="K20" s="8" t="s">
        <v>7</v>
      </c>
      <c r="L20" s="8" t="s">
        <v>34</v>
      </c>
      <c r="M20" s="8" t="s">
        <v>35</v>
      </c>
      <c r="N20" s="8" t="s">
        <v>36</v>
      </c>
      <c r="O20" s="8" t="s">
        <v>32</v>
      </c>
      <c r="P20" s="7" t="s">
        <v>31</v>
      </c>
      <c r="Q20" s="5" t="s">
        <v>24</v>
      </c>
      <c r="U20" s="42" t="s">
        <v>1</v>
      </c>
    </row>
    <row r="21" spans="1:35" x14ac:dyDescent="0.2">
      <c r="A21" s="30" t="s">
        <v>21</v>
      </c>
      <c r="B21" s="30"/>
      <c r="C21" s="31">
        <v>21190.741399999999</v>
      </c>
      <c r="D21" s="31" t="s">
        <v>23</v>
      </c>
      <c r="E21" s="30">
        <f t="shared" ref="E21:E28" si="0">+(C21-C$7)/C$8</f>
        <v>0</v>
      </c>
      <c r="F21" s="30">
        <f t="shared" ref="F21:F31" si="1">ROUND(2*E21,0)/2</f>
        <v>0</v>
      </c>
      <c r="G21" s="30">
        <f t="shared" ref="G21:G28" si="2">+C21-(C$7+F21*C$8)</f>
        <v>0</v>
      </c>
      <c r="H21" s="30">
        <f>+G21</f>
        <v>0</v>
      </c>
      <c r="I21" s="30"/>
      <c r="J21" s="30"/>
      <c r="K21" s="30"/>
      <c r="L21" s="30"/>
      <c r="M21" s="30"/>
      <c r="N21" s="30"/>
      <c r="O21" s="30">
        <f t="shared" ref="O21:O28" ca="1" si="3">+C$11+C$12*F21</f>
        <v>-4.8208721313935554E-2</v>
      </c>
      <c r="P21" s="30"/>
      <c r="Q21" s="32">
        <f t="shared" ref="Q21:Q28" si="4">+C21-15018.5</f>
        <v>6172.241399999999</v>
      </c>
      <c r="R21" s="30"/>
    </row>
    <row r="22" spans="1:35" x14ac:dyDescent="0.2">
      <c r="A22" s="30" t="s">
        <v>39</v>
      </c>
      <c r="B22" s="30"/>
      <c r="C22" s="31">
        <v>46007.419000000002</v>
      </c>
      <c r="D22" s="31"/>
      <c r="E22" s="30">
        <f t="shared" si="0"/>
        <v>6104.0068592051766</v>
      </c>
      <c r="F22" s="30">
        <f t="shared" si="1"/>
        <v>6104</v>
      </c>
      <c r="G22" s="30">
        <f t="shared" si="2"/>
        <v>2.7887039999768604E-2</v>
      </c>
      <c r="H22" s="30"/>
      <c r="I22" s="30">
        <f>G22</f>
        <v>2.7887039999768604E-2</v>
      </c>
      <c r="J22" s="30"/>
      <c r="K22" s="30"/>
      <c r="L22" s="30"/>
      <c r="M22" s="30"/>
      <c r="N22" s="30"/>
      <c r="O22" s="30">
        <f t="shared" ca="1" si="3"/>
        <v>2.3449225818129707E-2</v>
      </c>
      <c r="P22" s="30"/>
      <c r="Q22" s="32">
        <f t="shared" si="4"/>
        <v>30988.919000000002</v>
      </c>
      <c r="R22" s="30"/>
      <c r="AA22" s="4"/>
      <c r="AC22" t="s">
        <v>37</v>
      </c>
      <c r="AE22">
        <v>8</v>
      </c>
      <c r="AG22" t="s">
        <v>38</v>
      </c>
      <c r="AI22" t="s">
        <v>40</v>
      </c>
    </row>
    <row r="23" spans="1:35" x14ac:dyDescent="0.2">
      <c r="A23" s="30" t="s">
        <v>41</v>
      </c>
      <c r="B23" s="30"/>
      <c r="C23" s="31">
        <v>46442.430099999998</v>
      </c>
      <c r="D23" s="31"/>
      <c r="E23" s="30">
        <f t="shared" si="0"/>
        <v>6211.0038868101274</v>
      </c>
      <c r="F23" s="30">
        <f t="shared" si="1"/>
        <v>6211</v>
      </c>
      <c r="G23" s="30">
        <f t="shared" si="2"/>
        <v>1.5802359994268045E-2</v>
      </c>
      <c r="H23" s="30"/>
      <c r="I23" s="30"/>
      <c r="J23" s="30"/>
      <c r="K23" s="30">
        <f>G23</f>
        <v>1.5802359994268045E-2</v>
      </c>
      <c r="L23" s="30"/>
      <c r="M23" s="30"/>
      <c r="O23" s="30">
        <f t="shared" ca="1" si="3"/>
        <v>2.4705353004094807E-2</v>
      </c>
      <c r="P23" s="30"/>
      <c r="Q23" s="32">
        <f t="shared" si="4"/>
        <v>31423.930099999998</v>
      </c>
      <c r="R23" s="30"/>
      <c r="AA23" s="4"/>
      <c r="AC23" t="s">
        <v>37</v>
      </c>
      <c r="AI23" t="s">
        <v>42</v>
      </c>
    </row>
    <row r="24" spans="1:35" x14ac:dyDescent="0.2">
      <c r="A24" s="30" t="s">
        <v>44</v>
      </c>
      <c r="B24" s="30" t="s">
        <v>45</v>
      </c>
      <c r="C24" s="31">
        <v>48359.402999999998</v>
      </c>
      <c r="D24" s="31">
        <v>1.2E-2</v>
      </c>
      <c r="E24" s="30">
        <f t="shared" si="0"/>
        <v>6682.5100214794375</v>
      </c>
      <c r="F24" s="30">
        <f t="shared" si="1"/>
        <v>6682.5</v>
      </c>
      <c r="G24" s="30">
        <f t="shared" si="2"/>
        <v>4.074370000307681E-2</v>
      </c>
      <c r="H24" s="30"/>
      <c r="I24" s="30">
        <f>G24</f>
        <v>4.074370000307681E-2</v>
      </c>
      <c r="J24" s="30"/>
      <c r="K24" s="30"/>
      <c r="L24" s="30"/>
      <c r="M24" s="30"/>
      <c r="N24" s="30"/>
      <c r="O24" s="30">
        <f t="shared" ca="1" si="3"/>
        <v>3.0240530276828881E-2</v>
      </c>
      <c r="P24" s="30"/>
      <c r="Q24" s="32">
        <f t="shared" si="4"/>
        <v>33340.902999999998</v>
      </c>
      <c r="R24" s="30"/>
      <c r="AA24" s="4" t="s">
        <v>43</v>
      </c>
      <c r="AC24" t="s">
        <v>37</v>
      </c>
      <c r="AD24" t="s">
        <v>40</v>
      </c>
      <c r="AE24">
        <v>16</v>
      </c>
      <c r="AG24" t="s">
        <v>38</v>
      </c>
      <c r="AI24" t="s">
        <v>40</v>
      </c>
    </row>
    <row r="25" spans="1:35" x14ac:dyDescent="0.2">
      <c r="A25" s="30" t="s">
        <v>44</v>
      </c>
      <c r="B25" s="30"/>
      <c r="C25" s="31">
        <v>48987.536</v>
      </c>
      <c r="D25" s="31">
        <v>6.0000000000000001E-3</v>
      </c>
      <c r="E25" s="30">
        <f t="shared" si="0"/>
        <v>6837.0080651858652</v>
      </c>
      <c r="F25" s="30">
        <f t="shared" si="1"/>
        <v>6837</v>
      </c>
      <c r="G25" s="30">
        <f t="shared" si="2"/>
        <v>3.2790119999845047E-2</v>
      </c>
      <c r="H25" s="30"/>
      <c r="I25" s="30">
        <f>G25</f>
        <v>3.2790119999845047E-2</v>
      </c>
      <c r="J25" s="30"/>
      <c r="K25" s="30"/>
      <c r="L25" s="30"/>
      <c r="M25" s="30"/>
      <c r="N25" s="30"/>
      <c r="O25" s="30">
        <f t="shared" ca="1" si="3"/>
        <v>3.2054284017311196E-2</v>
      </c>
      <c r="P25" s="30"/>
      <c r="Q25" s="32">
        <f t="shared" si="4"/>
        <v>33969.036</v>
      </c>
      <c r="R25" s="30"/>
      <c r="AA25" s="4" t="s">
        <v>43</v>
      </c>
      <c r="AC25" t="s">
        <v>37</v>
      </c>
      <c r="AD25" t="s">
        <v>40</v>
      </c>
      <c r="AE25">
        <v>20</v>
      </c>
      <c r="AG25" t="s">
        <v>38</v>
      </c>
      <c r="AI25" t="s">
        <v>40</v>
      </c>
    </row>
    <row r="26" spans="1:35" x14ac:dyDescent="0.2">
      <c r="A26" s="33" t="s">
        <v>56</v>
      </c>
      <c r="B26" s="34" t="s">
        <v>57</v>
      </c>
      <c r="C26" s="31">
        <v>53341.841200000003</v>
      </c>
      <c r="D26" s="31">
        <v>2.0000000000000001E-4</v>
      </c>
      <c r="E26" s="30">
        <f t="shared" si="0"/>
        <v>7908.0099630334953</v>
      </c>
      <c r="F26" s="30">
        <f t="shared" si="1"/>
        <v>7908</v>
      </c>
      <c r="G26" s="30">
        <f t="shared" si="2"/>
        <v>4.050608000397915E-2</v>
      </c>
      <c r="H26" s="30"/>
      <c r="I26" s="30"/>
      <c r="K26" s="30">
        <f>G26</f>
        <v>4.050608000397915E-2</v>
      </c>
      <c r="L26" s="30"/>
      <c r="M26" s="30"/>
      <c r="N26" s="30"/>
      <c r="O26" s="30">
        <f t="shared" ca="1" si="3"/>
        <v>4.4627295383373108E-2</v>
      </c>
      <c r="P26" s="30"/>
      <c r="Q26" s="32">
        <f t="shared" si="4"/>
        <v>38323.341200000003</v>
      </c>
      <c r="R26" s="30"/>
    </row>
    <row r="27" spans="1:35" s="48" customFormat="1" x14ac:dyDescent="0.2">
      <c r="A27" s="45" t="s">
        <v>46</v>
      </c>
      <c r="B27" s="46"/>
      <c r="C27" s="47">
        <v>53386.533799999997</v>
      </c>
      <c r="D27" s="47">
        <v>5.0000000000000001E-4</v>
      </c>
      <c r="E27" s="48">
        <f t="shared" si="0"/>
        <v>7919.0027293236808</v>
      </c>
      <c r="F27" s="48">
        <f t="shared" si="1"/>
        <v>7919</v>
      </c>
      <c r="O27" s="48">
        <f t="shared" ca="1" si="3"/>
        <v>4.4756429953892896E-2</v>
      </c>
      <c r="Q27" s="49">
        <f t="shared" si="4"/>
        <v>38368.033799999997</v>
      </c>
      <c r="U27" s="48">
        <f>+C27-(C$7+F27*C$8)</f>
        <v>1.1096440000983421E-2</v>
      </c>
    </row>
    <row r="28" spans="1:35" s="48" customFormat="1" x14ac:dyDescent="0.2">
      <c r="A28" s="50" t="s">
        <v>49</v>
      </c>
      <c r="B28" s="51"/>
      <c r="C28" s="47">
        <v>53744.335299999999</v>
      </c>
      <c r="D28" s="47">
        <v>8.0000000000000002E-3</v>
      </c>
      <c r="E28" s="48">
        <f t="shared" si="0"/>
        <v>8007.0089824344486</v>
      </c>
      <c r="F28" s="48">
        <f t="shared" si="1"/>
        <v>8007</v>
      </c>
      <c r="G28" s="48">
        <f t="shared" si="2"/>
        <v>3.6519319997751154E-2</v>
      </c>
      <c r="J28" s="48">
        <f>G28</f>
        <v>3.6519319997751154E-2</v>
      </c>
      <c r="O28" s="48">
        <f t="shared" ca="1" si="3"/>
        <v>4.578950651805111E-2</v>
      </c>
      <c r="Q28" s="49">
        <f t="shared" si="4"/>
        <v>38725.835299999999</v>
      </c>
    </row>
    <row r="29" spans="1:35" s="48" customFormat="1" x14ac:dyDescent="0.2">
      <c r="A29" s="35" t="s">
        <v>3</v>
      </c>
      <c r="B29" s="36" t="s">
        <v>57</v>
      </c>
      <c r="C29" s="37">
        <v>57777.468000000001</v>
      </c>
      <c r="D29" s="52">
        <v>0.01</v>
      </c>
      <c r="E29" s="48">
        <f>+(C29-C$7)/C$8</f>
        <v>8999.0140389406715</v>
      </c>
      <c r="F29" s="48">
        <f t="shared" si="1"/>
        <v>8999</v>
      </c>
      <c r="G29" s="48">
        <f>+C29-(C$7+F29*C$8)</f>
        <v>5.7077240002399776E-2</v>
      </c>
      <c r="I29" s="48">
        <f>G29</f>
        <v>5.7077240002399776E-2</v>
      </c>
      <c r="O29" s="48">
        <f ca="1">+C$11+C$12*F29</f>
        <v>5.7435096877652803E-2</v>
      </c>
      <c r="Q29" s="49">
        <f>+C29-15018.5</f>
        <v>42758.968000000001</v>
      </c>
    </row>
    <row r="30" spans="1:35" s="48" customFormat="1" x14ac:dyDescent="0.2">
      <c r="A30" s="35" t="s">
        <v>3</v>
      </c>
      <c r="B30" s="36" t="s">
        <v>45</v>
      </c>
      <c r="C30" s="37">
        <v>57775.442999999999</v>
      </c>
      <c r="D30" s="52">
        <v>0.02</v>
      </c>
      <c r="E30" s="48">
        <f>+(C30-C$7)/C$8</f>
        <v>8998.515962038955</v>
      </c>
      <c r="F30" s="48">
        <f t="shared" si="1"/>
        <v>8998.5</v>
      </c>
      <c r="G30" s="48">
        <f>+C30-(C$7+F30*C$8)</f>
        <v>6.4895859999523964E-2</v>
      </c>
      <c r="I30" s="48">
        <f>G30</f>
        <v>6.4895859999523964E-2</v>
      </c>
      <c r="O30" s="48">
        <f ca="1">+C$11+C$12*F30</f>
        <v>5.7429227124447355E-2</v>
      </c>
      <c r="Q30" s="49">
        <f>+C30-15018.5</f>
        <v>42756.942999999999</v>
      </c>
    </row>
    <row r="31" spans="1:35" s="48" customFormat="1" x14ac:dyDescent="0.2">
      <c r="A31" s="40" t="s">
        <v>0</v>
      </c>
      <c r="B31" s="41" t="s">
        <v>57</v>
      </c>
      <c r="C31" s="40">
        <v>57440.018499999998</v>
      </c>
      <c r="D31" s="40" t="s">
        <v>2</v>
      </c>
      <c r="E31" s="48">
        <f>+(C31-C$7)/C$8</f>
        <v>8916.0136431650753</v>
      </c>
      <c r="F31" s="48">
        <f t="shared" si="1"/>
        <v>8916</v>
      </c>
      <c r="G31" s="48">
        <f>+C31-(C$7+F31*C$8)</f>
        <v>5.546815999696264E-2</v>
      </c>
      <c r="K31" s="48">
        <f>G31</f>
        <v>5.546815999696264E-2</v>
      </c>
      <c r="O31" s="48">
        <f ca="1">+C$11+C$12*F31</f>
        <v>5.6460717845549027E-2</v>
      </c>
      <c r="Q31" s="49">
        <f>+C31-15018.5</f>
        <v>42421.518499999998</v>
      </c>
    </row>
    <row r="32" spans="1:35" s="48" customFormat="1" x14ac:dyDescent="0.2">
      <c r="A32" s="44" t="s">
        <v>60</v>
      </c>
      <c r="B32" s="43" t="s">
        <v>57</v>
      </c>
      <c r="C32" s="53">
        <v>59208.577300000004</v>
      </c>
      <c r="D32" s="53">
        <v>8.8999999999999995E-4</v>
      </c>
      <c r="E32" s="48">
        <f>+(C32-C$7)/C$8</f>
        <v>9351.0152666744088</v>
      </c>
      <c r="F32" s="48">
        <f t="shared" ref="F32" si="5">ROUND(2*E32,0)/2</f>
        <v>9351</v>
      </c>
      <c r="G32" s="48">
        <f>+C32-(C$7+F32*C$8)</f>
        <v>6.2068760002148338E-2</v>
      </c>
      <c r="K32" s="48">
        <f>G32</f>
        <v>6.2068760002148338E-2</v>
      </c>
      <c r="O32" s="48">
        <f ca="1">+C$11+C$12*F32</f>
        <v>6.1567403134285659E-2</v>
      </c>
      <c r="Q32" s="49">
        <f>+C32-15018.5</f>
        <v>44190.077300000004</v>
      </c>
    </row>
    <row r="33" spans="3:4" s="48" customFormat="1" x14ac:dyDescent="0.2">
      <c r="C33" s="47"/>
      <c r="D33" s="47"/>
    </row>
    <row r="34" spans="3:4" s="48" customFormat="1" x14ac:dyDescent="0.2">
      <c r="C34" s="47"/>
      <c r="D34" s="47"/>
    </row>
    <row r="35" spans="3:4" s="48" customFormat="1" x14ac:dyDescent="0.2">
      <c r="C35" s="47"/>
      <c r="D35" s="47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</sheetData>
  <phoneticPr fontId="8" type="noConversion"/>
  <hyperlinks>
    <hyperlink ref="H3198" r:id="rId1" display="http://vsolj.cetus-net.org/bulletin.html" xr:uid="{00000000-0004-0000-0000-000000000000}"/>
    <hyperlink ref="H64897" r:id="rId2" display="http://vsolj.cetus-net.org/bulletin.html" xr:uid="{00000000-0004-0000-0000-000001000000}"/>
    <hyperlink ref="H64890" r:id="rId3" display="https://www.aavso.org/ejaavso" xr:uid="{00000000-0004-0000-0000-000002000000}"/>
    <hyperlink ref="I64897" r:id="rId4" display="http://vsolj.cetus-net.org/bulletin.html" xr:uid="{00000000-0004-0000-0000-000003000000}"/>
    <hyperlink ref="AQ58548" r:id="rId5" display="http://cdsbib.u-strasbg.fr/cgi-bin/cdsbib?1990RMxAA..21..381G" xr:uid="{00000000-0004-0000-0000-000004000000}"/>
    <hyperlink ref="H64894" r:id="rId6" display="https://www.aavso.org/ejaavso" xr:uid="{00000000-0004-0000-0000-000005000000}"/>
    <hyperlink ref="AP5912" r:id="rId7" display="http://cdsbib.u-strasbg.fr/cgi-bin/cdsbib?1990RMxAA..21..381G" xr:uid="{00000000-0004-0000-0000-000006000000}"/>
    <hyperlink ref="AP5915" r:id="rId8" display="http://cdsbib.u-strasbg.fr/cgi-bin/cdsbib?1990RMxAA..21..381G" xr:uid="{00000000-0004-0000-0000-000007000000}"/>
    <hyperlink ref="AP5913" r:id="rId9" display="http://cdsbib.u-strasbg.fr/cgi-bin/cdsbib?1990RMxAA..21..381G" xr:uid="{00000000-0004-0000-0000-000008000000}"/>
    <hyperlink ref="AP5897" r:id="rId10" display="http://cdsbib.u-strasbg.fr/cgi-bin/cdsbib?1990RMxAA..21..381G" xr:uid="{00000000-0004-0000-0000-000009000000}"/>
    <hyperlink ref="AQ6126" r:id="rId11" display="http://cdsbib.u-strasbg.fr/cgi-bin/cdsbib?1990RMxAA..21..381G" xr:uid="{00000000-0004-0000-0000-00000A000000}"/>
    <hyperlink ref="AQ6130" r:id="rId12" display="http://cdsbib.u-strasbg.fr/cgi-bin/cdsbib?1990RMxAA..21..381G" xr:uid="{00000000-0004-0000-0000-00000B000000}"/>
    <hyperlink ref="AQ274" r:id="rId13" display="http://cdsbib.u-strasbg.fr/cgi-bin/cdsbib?1990RMxAA..21..381G" xr:uid="{00000000-0004-0000-0000-00000C000000}"/>
    <hyperlink ref="I3018" r:id="rId14" display="http://vsolj.cetus-net.org/bulletin.html" xr:uid="{00000000-0004-0000-0000-00000D000000}"/>
    <hyperlink ref="H3018" r:id="rId15" display="http://vsolj.cetus-net.org/bulletin.html" xr:uid="{00000000-0004-0000-0000-00000E000000}"/>
    <hyperlink ref="AQ935" r:id="rId16" display="http://cdsbib.u-strasbg.fr/cgi-bin/cdsbib?1990RMxAA..21..381G" xr:uid="{00000000-0004-0000-0000-00000F000000}"/>
    <hyperlink ref="AQ934" r:id="rId17" display="http://cdsbib.u-strasbg.fr/cgi-bin/cdsbib?1990RMxAA..21..381G" xr:uid="{00000000-0004-0000-0000-000010000000}"/>
    <hyperlink ref="AP4188" r:id="rId18" display="http://cdsbib.u-strasbg.fr/cgi-bin/cdsbib?1990RMxAA..21..381G" xr:uid="{00000000-0004-0000-0000-000011000000}"/>
    <hyperlink ref="AP4206" r:id="rId19" display="http://cdsbib.u-strasbg.fr/cgi-bin/cdsbib?1990RMxAA..21..381G" xr:uid="{00000000-0004-0000-0000-000012000000}"/>
    <hyperlink ref="AP4207" r:id="rId20" display="http://cdsbib.u-strasbg.fr/cgi-bin/cdsbib?1990RMxAA..21..381G" xr:uid="{00000000-0004-0000-0000-000013000000}"/>
    <hyperlink ref="AP420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2023-05-29T05:02:20Z</dcterms:modified>
</cp:coreProperties>
</file>