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2AEEB4-1321-4C64-B654-FFD39630F603}" xr6:coauthVersionLast="47" xr6:coauthVersionMax="47" xr10:uidLastSave="{00000000-0000-0000-0000-000000000000}"/>
  <bookViews>
    <workbookView xWindow="14445" yWindow="495" windowWidth="13350" windowHeight="14625"/>
  </bookViews>
  <sheets>
    <sheet name="Active" sheetId="3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36" i="3" l="1"/>
  <c r="F36" i="3" s="1"/>
  <c r="G36" i="3" s="1"/>
  <c r="J36" i="3" s="1"/>
  <c r="Q36" i="3"/>
  <c r="E37" i="3"/>
  <c r="F37" i="3"/>
  <c r="G37" i="3" s="1"/>
  <c r="J37" i="3" s="1"/>
  <c r="Q37" i="3"/>
  <c r="G11" i="3"/>
  <c r="F11" i="3"/>
  <c r="Q34" i="3"/>
  <c r="Q35" i="3"/>
  <c r="Q33" i="3"/>
  <c r="Q32" i="3"/>
  <c r="E14" i="3"/>
  <c r="E15" i="3" s="1"/>
  <c r="C17" i="3"/>
  <c r="E29" i="3"/>
  <c r="F29" i="3"/>
  <c r="E25" i="3"/>
  <c r="F25" i="3"/>
  <c r="E26" i="3"/>
  <c r="F26" i="3"/>
  <c r="E27" i="3"/>
  <c r="F27" i="3"/>
  <c r="G27" i="3"/>
  <c r="J27" i="3"/>
  <c r="E30" i="3"/>
  <c r="F30" i="3"/>
  <c r="G30" i="3"/>
  <c r="J30" i="3"/>
  <c r="Q29" i="3"/>
  <c r="Q31" i="3"/>
  <c r="Q30" i="3"/>
  <c r="E21" i="3"/>
  <c r="F21" i="3"/>
  <c r="Q27" i="3"/>
  <c r="Q28" i="3"/>
  <c r="C7" i="3"/>
  <c r="Q21" i="3"/>
  <c r="Q22" i="3"/>
  <c r="Q23" i="3"/>
  <c r="Q24" i="3"/>
  <c r="Q25" i="3"/>
  <c r="Q26" i="3"/>
  <c r="Q25" i="1"/>
  <c r="Q26" i="1"/>
  <c r="C17" i="1"/>
  <c r="Q23" i="1"/>
  <c r="Q24" i="1"/>
  <c r="Q22" i="1"/>
  <c r="C7" i="1"/>
  <c r="E23" i="1"/>
  <c r="F23" i="1"/>
  <c r="C8" i="1"/>
  <c r="Q21" i="1"/>
  <c r="G35" i="3"/>
  <c r="J35" i="3"/>
  <c r="E21" i="1"/>
  <c r="F21" i="1"/>
  <c r="G24" i="3"/>
  <c r="J24" i="3"/>
  <c r="E31" i="3"/>
  <c r="F31" i="3"/>
  <c r="G31" i="3"/>
  <c r="J31" i="3"/>
  <c r="E35" i="3"/>
  <c r="F35" i="3"/>
  <c r="G25" i="1"/>
  <c r="J25" i="1"/>
  <c r="G32" i="3"/>
  <c r="J32" i="3"/>
  <c r="G22" i="1"/>
  <c r="I22" i="1"/>
  <c r="G26" i="3"/>
  <c r="J26" i="3"/>
  <c r="E24" i="3"/>
  <c r="F24" i="3"/>
  <c r="G29" i="3"/>
  <c r="J29" i="3"/>
  <c r="E33" i="3"/>
  <c r="F33" i="3"/>
  <c r="G33" i="3"/>
  <c r="J33" i="3"/>
  <c r="E22" i="1"/>
  <c r="F22" i="1"/>
  <c r="E26" i="1"/>
  <c r="F26" i="1"/>
  <c r="E25" i="1"/>
  <c r="F25" i="1"/>
  <c r="E32" i="3"/>
  <c r="F32" i="3"/>
  <c r="E24" i="1"/>
  <c r="F24" i="1"/>
  <c r="G24" i="1"/>
  <c r="J24" i="1"/>
  <c r="E34" i="3"/>
  <c r="F34" i="3"/>
  <c r="G34" i="3"/>
  <c r="J34" i="3"/>
  <c r="G23" i="1"/>
  <c r="J23" i="1"/>
  <c r="G26" i="1"/>
  <c r="J26" i="1"/>
  <c r="G25" i="3"/>
  <c r="J25" i="3"/>
  <c r="E23" i="3"/>
  <c r="F23" i="3"/>
  <c r="G23" i="3"/>
  <c r="J23" i="3"/>
  <c r="G21" i="3"/>
  <c r="H21" i="3"/>
  <c r="E22" i="3"/>
  <c r="F22" i="3"/>
  <c r="G22" i="3"/>
  <c r="E28" i="3"/>
  <c r="F28" i="3"/>
  <c r="G28" i="3"/>
  <c r="J28" i="3"/>
  <c r="I22" i="3"/>
  <c r="C12" i="1"/>
  <c r="C16" i="1"/>
  <c r="D18" i="1"/>
  <c r="C11" i="1"/>
  <c r="O25" i="1"/>
  <c r="O23" i="1"/>
  <c r="O21" i="1"/>
  <c r="O26" i="1"/>
  <c r="O24" i="1"/>
  <c r="O22" i="1"/>
  <c r="C15" i="1"/>
  <c r="C18" i="1"/>
  <c r="C12" i="3"/>
  <c r="C11" i="3"/>
  <c r="O36" i="3" l="1"/>
  <c r="O37" i="3"/>
  <c r="O32" i="3"/>
  <c r="O24" i="3"/>
  <c r="O35" i="3"/>
  <c r="O30" i="3"/>
  <c r="O33" i="3"/>
  <c r="O34" i="3"/>
  <c r="O23" i="3"/>
  <c r="O22" i="3"/>
  <c r="O27" i="3"/>
  <c r="O25" i="3"/>
  <c r="O31" i="3"/>
  <c r="O29" i="3"/>
  <c r="O26" i="3"/>
  <c r="O28" i="3"/>
  <c r="O21" i="3"/>
  <c r="C15" i="3"/>
  <c r="C16" i="3"/>
  <c r="D18" i="3" s="1"/>
  <c r="C18" i="3" l="1"/>
  <c r="E16" i="3"/>
  <c r="E17" i="3" s="1"/>
</calcChain>
</file>

<file path=xl/sharedStrings.xml><?xml version="1.0" encoding="utf-8"?>
<sst xmlns="http://schemas.openxmlformats.org/spreadsheetml/2006/main" count="129" uniqueCount="61">
  <si>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</si>
  <si>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</si>
  <si>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</si>
  <si>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</si>
  <si>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</si>
  <si>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</si>
  <si>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</si>
  <si>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</si>
  <si>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</si>
  <si>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</si>
  <si>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</si>
  <si>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</si>
  <si>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</si>
  <si>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</si>
  <si>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</si>
  <si>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</si>
  <si>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</si>
  <si>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</si>
  <si>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</si>
  <si>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</si>
  <si>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</si>
  <si>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</si>
  <si>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</si>
  <si>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</si>
  <si>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</si>
  <si>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</si>
  <si>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</si>
  <si>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</si>
  <si>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</si>
  <si>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</si>
  <si>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</t>
  </si>
  <si>
    <t>BBSAG</t>
  </si>
  <si>
    <t>Diethelm R</t>
  </si>
  <si>
    <t>BBSAG Bull.114</t>
  </si>
  <si>
    <t>IBVS 5643</t>
  </si>
  <si>
    <t>II</t>
  </si>
  <si>
    <t>IBVS</t>
  </si>
  <si>
    <t>EA</t>
  </si>
  <si>
    <t># of data points:</t>
  </si>
  <si>
    <t>FO Aur / GSC 02409-01108</t>
  </si>
  <si>
    <t>IBVS 5731</t>
  </si>
  <si>
    <t>IBVS 5713</t>
  </si>
  <si>
    <t>I</t>
  </si>
  <si>
    <t>See page B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</si>
  <si>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</si>
  <si>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</si>
  <si>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</si>
  <si>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</si>
  <si>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</si>
  <si>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</si>
  <si>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</si>
  <si>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Start of linear fit &gt;&gt;&gt;&gt;&gt;&gt;&gt;&gt;&gt;&gt;&gt;&gt;&gt;&gt;&gt;&gt;&gt;&gt;&gt;&gt;&gt;</t>
  </si>
  <si>
    <t>IBVS 5920</t>
  </si>
  <si>
    <t>IBVS 6007</t>
  </si>
  <si>
    <t>IBVS 5992</t>
  </si>
  <si>
    <t>Add cycle</t>
  </si>
  <si>
    <t>Old Cycle</t>
  </si>
  <si>
    <t>IBVS 6029</t>
  </si>
  <si>
    <t>IBVS 6118</t>
  </si>
  <si>
    <t>IBVS 6149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</si>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</sst>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0000"/>
    <numFmt numFmtId="177" formatCode="0.0000000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3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 applyProtection="1">
      <alignment vertical="center" wrapText="1"/>
      <protection locked="0"/>
    </xf>
    <xf numFmtId="177" fontId="20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Aur - O-C Diagr.</a:t>
            </a:r>
          </a:p>
        </c:rich>
      </c:tx>
      <c:layout>
        <c:manualLayout>
          <c:xMode val="edge"/>
          <c:yMode val="edge"/>
          <c:x val="0.3463917525773195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860681114551083"/>
          <c:w val="0.7752577319587629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39779</c:v>
                </c:pt>
                <c:pt idx="2">
                  <c:v>43808.5</c:v>
                </c:pt>
                <c:pt idx="3">
                  <c:v>43809</c:v>
                </c:pt>
                <c:pt idx="4">
                  <c:v>45000.5</c:v>
                </c:pt>
                <c:pt idx="5">
                  <c:v>45150</c:v>
                </c:pt>
                <c:pt idx="6">
                  <c:v>45627</c:v>
                </c:pt>
                <c:pt idx="7">
                  <c:v>45675</c:v>
                </c:pt>
                <c:pt idx="8">
                  <c:v>46199.5</c:v>
                </c:pt>
                <c:pt idx="9">
                  <c:v>47403.5</c:v>
                </c:pt>
                <c:pt idx="10">
                  <c:v>48140.5</c:v>
                </c:pt>
                <c:pt idx="11">
                  <c:v>48744</c:v>
                </c:pt>
                <c:pt idx="12">
                  <c:v>49847</c:v>
                </c:pt>
                <c:pt idx="13">
                  <c:v>49976.5</c:v>
                </c:pt>
                <c:pt idx="14">
                  <c:v>50002.5</c:v>
                </c:pt>
                <c:pt idx="15">
                  <c:v>54601</c:v>
                </c:pt>
                <c:pt idx="16">
                  <c:v>54652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16-413C-B86C-111547E2DE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39779</c:v>
                </c:pt>
                <c:pt idx="2">
                  <c:v>43808.5</c:v>
                </c:pt>
                <c:pt idx="3">
                  <c:v>43809</c:v>
                </c:pt>
                <c:pt idx="4">
                  <c:v>45000.5</c:v>
                </c:pt>
                <c:pt idx="5">
                  <c:v>45150</c:v>
                </c:pt>
                <c:pt idx="6">
                  <c:v>45627</c:v>
                </c:pt>
                <c:pt idx="7">
                  <c:v>45675</c:v>
                </c:pt>
                <c:pt idx="8">
                  <c:v>46199.5</c:v>
                </c:pt>
                <c:pt idx="9">
                  <c:v>47403.5</c:v>
                </c:pt>
                <c:pt idx="10">
                  <c:v>48140.5</c:v>
                </c:pt>
                <c:pt idx="11">
                  <c:v>48744</c:v>
                </c:pt>
                <c:pt idx="12">
                  <c:v>49847</c:v>
                </c:pt>
                <c:pt idx="13">
                  <c:v>49976.5</c:v>
                </c:pt>
                <c:pt idx="14">
                  <c:v>50002.5</c:v>
                </c:pt>
                <c:pt idx="15">
                  <c:v>54601</c:v>
                </c:pt>
                <c:pt idx="16">
                  <c:v>54652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0.11061193893692689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16-413C-B86C-111547E2DE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39779</c:v>
                </c:pt>
                <c:pt idx="2">
                  <c:v>43808.5</c:v>
                </c:pt>
                <c:pt idx="3">
                  <c:v>43809</c:v>
                </c:pt>
                <c:pt idx="4">
                  <c:v>45000.5</c:v>
                </c:pt>
                <c:pt idx="5">
                  <c:v>45150</c:v>
                </c:pt>
                <c:pt idx="6">
                  <c:v>45627</c:v>
                </c:pt>
                <c:pt idx="7">
                  <c:v>45675</c:v>
                </c:pt>
                <c:pt idx="8">
                  <c:v>46199.5</c:v>
                </c:pt>
                <c:pt idx="9">
                  <c:v>47403.5</c:v>
                </c:pt>
                <c:pt idx="10">
                  <c:v>48140.5</c:v>
                </c:pt>
                <c:pt idx="11">
                  <c:v>48744</c:v>
                </c:pt>
                <c:pt idx="12">
                  <c:v>49847</c:v>
                </c:pt>
                <c:pt idx="13">
                  <c:v>49976.5</c:v>
                </c:pt>
                <c:pt idx="14">
                  <c:v>50002.5</c:v>
                </c:pt>
                <c:pt idx="15">
                  <c:v>54601</c:v>
                </c:pt>
                <c:pt idx="16">
                  <c:v>54652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9.9203052537632175E-2</c:v>
                </c:pt>
                <c:pt idx="3">
                  <c:v>0.10510915641498286</c:v>
                </c:pt>
                <c:pt idx="4">
                  <c:v>0.12735468609025702</c:v>
                </c:pt>
                <c:pt idx="5">
                  <c:v>9.847974416334182E-2</c:v>
                </c:pt>
                <c:pt idx="6">
                  <c:v>1.7028391303028911E-3</c:v>
                </c:pt>
                <c:pt idx="7">
                  <c:v>-1.5911189046164509E-2</c:v>
                </c:pt>
                <c:pt idx="8">
                  <c:v>-0.13951822611852549</c:v>
                </c:pt>
                <c:pt idx="9">
                  <c:v>-0.10121009960857918</c:v>
                </c:pt>
                <c:pt idx="10">
                  <c:v>1.5687009385146666E-2</c:v>
                </c:pt>
                <c:pt idx="11">
                  <c:v>-0.10924561573483516</c:v>
                </c:pt>
                <c:pt idx="12">
                  <c:v>-6.3580471607565414E-2</c:v>
                </c:pt>
                <c:pt idx="13">
                  <c:v>-9.1199568450974766E-2</c:v>
                </c:pt>
                <c:pt idx="14">
                  <c:v>-9.6282167054596357E-2</c:v>
                </c:pt>
                <c:pt idx="15">
                  <c:v>0.10395515417621937</c:v>
                </c:pt>
                <c:pt idx="16">
                  <c:v>5.5077749224437866E-2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16-413C-B86C-111547E2DE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39779</c:v>
                </c:pt>
                <c:pt idx="2">
                  <c:v>43808.5</c:v>
                </c:pt>
                <c:pt idx="3">
                  <c:v>43809</c:v>
                </c:pt>
                <c:pt idx="4">
                  <c:v>45000.5</c:v>
                </c:pt>
                <c:pt idx="5">
                  <c:v>45150</c:v>
                </c:pt>
                <c:pt idx="6">
                  <c:v>45627</c:v>
                </c:pt>
                <c:pt idx="7">
                  <c:v>45675</c:v>
                </c:pt>
                <c:pt idx="8">
                  <c:v>46199.5</c:v>
                </c:pt>
                <c:pt idx="9">
                  <c:v>47403.5</c:v>
                </c:pt>
                <c:pt idx="10">
                  <c:v>48140.5</c:v>
                </c:pt>
                <c:pt idx="11">
                  <c:v>48744</c:v>
                </c:pt>
                <c:pt idx="12">
                  <c:v>49847</c:v>
                </c:pt>
                <c:pt idx="13">
                  <c:v>49976.5</c:v>
                </c:pt>
                <c:pt idx="14">
                  <c:v>50002.5</c:v>
                </c:pt>
                <c:pt idx="15">
                  <c:v>54601</c:v>
                </c:pt>
                <c:pt idx="16">
                  <c:v>54652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16-413C-B86C-111547E2DE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39779</c:v>
                </c:pt>
                <c:pt idx="2">
                  <c:v>43808.5</c:v>
                </c:pt>
                <c:pt idx="3">
                  <c:v>43809</c:v>
                </c:pt>
                <c:pt idx="4">
                  <c:v>45000.5</c:v>
                </c:pt>
                <c:pt idx="5">
                  <c:v>45150</c:v>
                </c:pt>
                <c:pt idx="6">
                  <c:v>45627</c:v>
                </c:pt>
                <c:pt idx="7">
                  <c:v>45675</c:v>
                </c:pt>
                <c:pt idx="8">
                  <c:v>46199.5</c:v>
                </c:pt>
                <c:pt idx="9">
                  <c:v>47403.5</c:v>
                </c:pt>
                <c:pt idx="10">
                  <c:v>48140.5</c:v>
                </c:pt>
                <c:pt idx="11">
                  <c:v>48744</c:v>
                </c:pt>
                <c:pt idx="12">
                  <c:v>49847</c:v>
                </c:pt>
                <c:pt idx="13">
                  <c:v>49976.5</c:v>
                </c:pt>
                <c:pt idx="14">
                  <c:v>50002.5</c:v>
                </c:pt>
                <c:pt idx="15">
                  <c:v>54601</c:v>
                </c:pt>
                <c:pt idx="16">
                  <c:v>54652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16-413C-B86C-111547E2DE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39779</c:v>
                </c:pt>
                <c:pt idx="2">
                  <c:v>43808.5</c:v>
                </c:pt>
                <c:pt idx="3">
                  <c:v>43809</c:v>
                </c:pt>
                <c:pt idx="4">
                  <c:v>45000.5</c:v>
                </c:pt>
                <c:pt idx="5">
                  <c:v>45150</c:v>
                </c:pt>
                <c:pt idx="6">
                  <c:v>45627</c:v>
                </c:pt>
                <c:pt idx="7">
                  <c:v>45675</c:v>
                </c:pt>
                <c:pt idx="8">
                  <c:v>46199.5</c:v>
                </c:pt>
                <c:pt idx="9">
                  <c:v>47403.5</c:v>
                </c:pt>
                <c:pt idx="10">
                  <c:v>48140.5</c:v>
                </c:pt>
                <c:pt idx="11">
                  <c:v>48744</c:v>
                </c:pt>
                <c:pt idx="12">
                  <c:v>49847</c:v>
                </c:pt>
                <c:pt idx="13">
                  <c:v>49976.5</c:v>
                </c:pt>
                <c:pt idx="14">
                  <c:v>50002.5</c:v>
                </c:pt>
                <c:pt idx="15">
                  <c:v>54601</c:v>
                </c:pt>
                <c:pt idx="16">
                  <c:v>54652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16-413C-B86C-111547E2DE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3.2000000000000002E-3</c:v>
                  </c:pt>
                  <c:pt idx="7">
                    <c:v>5.0000000000000001E-3</c:v>
                  </c:pt>
                  <c:pt idx="8">
                    <c:v>1.06E-3</c:v>
                  </c:pt>
                  <c:pt idx="9">
                    <c:v>2.0000000000000001E-4</c:v>
                  </c:pt>
                  <c:pt idx="10">
                    <c:v>3.0000000000000001E-3</c:v>
                  </c:pt>
                  <c:pt idx="11">
                    <c:v>5.0000000000000001E-4</c:v>
                  </c:pt>
                  <c:pt idx="12">
                    <c:v>3.0999999999999999E-3</c:v>
                  </c:pt>
                  <c:pt idx="13">
                    <c:v>4.0000000000000002E-4</c:v>
                  </c:pt>
                  <c:pt idx="14">
                    <c:v>8.9999999999999998E-4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39779</c:v>
                </c:pt>
                <c:pt idx="2">
                  <c:v>43808.5</c:v>
                </c:pt>
                <c:pt idx="3">
                  <c:v>43809</c:v>
                </c:pt>
                <c:pt idx="4">
                  <c:v>45000.5</c:v>
                </c:pt>
                <c:pt idx="5">
                  <c:v>45150</c:v>
                </c:pt>
                <c:pt idx="6">
                  <c:v>45627</c:v>
                </c:pt>
                <c:pt idx="7">
                  <c:v>45675</c:v>
                </c:pt>
                <c:pt idx="8">
                  <c:v>46199.5</c:v>
                </c:pt>
                <c:pt idx="9">
                  <c:v>47403.5</c:v>
                </c:pt>
                <c:pt idx="10">
                  <c:v>48140.5</c:v>
                </c:pt>
                <c:pt idx="11">
                  <c:v>48744</c:v>
                </c:pt>
                <c:pt idx="12">
                  <c:v>49847</c:v>
                </c:pt>
                <c:pt idx="13">
                  <c:v>49976.5</c:v>
                </c:pt>
                <c:pt idx="14">
                  <c:v>50002.5</c:v>
                </c:pt>
                <c:pt idx="15">
                  <c:v>54601</c:v>
                </c:pt>
                <c:pt idx="16">
                  <c:v>54652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16-413C-B86C-111547E2DE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39779</c:v>
                </c:pt>
                <c:pt idx="2">
                  <c:v>43808.5</c:v>
                </c:pt>
                <c:pt idx="3">
                  <c:v>43809</c:v>
                </c:pt>
                <c:pt idx="4">
                  <c:v>45000.5</c:v>
                </c:pt>
                <c:pt idx="5">
                  <c:v>45150</c:v>
                </c:pt>
                <c:pt idx="6">
                  <c:v>45627</c:v>
                </c:pt>
                <c:pt idx="7">
                  <c:v>45675</c:v>
                </c:pt>
                <c:pt idx="8">
                  <c:v>46199.5</c:v>
                </c:pt>
                <c:pt idx="9">
                  <c:v>47403.5</c:v>
                </c:pt>
                <c:pt idx="10">
                  <c:v>48140.5</c:v>
                </c:pt>
                <c:pt idx="11">
                  <c:v>48744</c:v>
                </c:pt>
                <c:pt idx="12">
                  <c:v>49847</c:v>
                </c:pt>
                <c:pt idx="13">
                  <c:v>49976.5</c:v>
                </c:pt>
                <c:pt idx="14">
                  <c:v>50002.5</c:v>
                </c:pt>
                <c:pt idx="15">
                  <c:v>54601</c:v>
                </c:pt>
                <c:pt idx="16">
                  <c:v>54652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0.32594714022546017</c:v>
                </c:pt>
                <c:pt idx="1">
                  <c:v>5.7668851251585274E-2</c:v>
                </c:pt>
                <c:pt idx="2">
                  <c:v>3.0493020652016978E-2</c:v>
                </c:pt>
                <c:pt idx="3">
                  <c:v>3.0489648542499692E-2</c:v>
                </c:pt>
                <c:pt idx="4">
                  <c:v>2.2453911562878015E-2</c:v>
                </c:pt>
                <c:pt idx="5">
                  <c:v>2.1445650817218387E-2</c:v>
                </c:pt>
                <c:pt idx="6">
                  <c:v>1.8228658337755888E-2</c:v>
                </c:pt>
                <c:pt idx="7">
                  <c:v>1.7904935824099244E-2</c:v>
                </c:pt>
                <c:pt idx="8">
                  <c:v>1.4367592940497442E-2</c:v>
                </c:pt>
                <c:pt idx="9">
                  <c:v>6.2475532229443465E-3</c:v>
                </c:pt>
                <c:pt idx="10">
                  <c:v>1.2770637945085928E-3</c:v>
                </c:pt>
                <c:pt idx="11">
                  <c:v>-2.7930723928197843E-3</c:v>
                </c:pt>
                <c:pt idx="12">
                  <c:v>-1.0231945987887126E-2</c:v>
                </c:pt>
                <c:pt idx="13">
                  <c:v>-1.1105322352856495E-2</c:v>
                </c:pt>
                <c:pt idx="14">
                  <c:v>-1.1280672047753793E-2</c:v>
                </c:pt>
                <c:pt idx="15">
                  <c:v>-4.2293963277959812E-2</c:v>
                </c:pt>
                <c:pt idx="16">
                  <c:v>-4.2637918448719947E-2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16-413C-B86C-111547E2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493768"/>
        <c:axId val="1"/>
      </c:scatterChart>
      <c:valAx>
        <c:axId val="6284937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49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1950464396284826"/>
          <c:w val="0.9731958762886597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Aur - O-C Diagr.</a:t>
            </a:r>
          </a:p>
        </c:rich>
      </c:tx>
      <c:layout>
        <c:manualLayout>
          <c:xMode val="edge"/>
          <c:yMode val="edge"/>
          <c:x val="0.3463917525773195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953316519776211"/>
          <c:w val="0.7752577319587629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39774.5</c:v>
                </c:pt>
                <c:pt idx="2">
                  <c:v>43804</c:v>
                </c:pt>
                <c:pt idx="3">
                  <c:v>43804.5</c:v>
                </c:pt>
                <c:pt idx="4">
                  <c:v>44996</c:v>
                </c:pt>
                <c:pt idx="5">
                  <c:v>45145.5</c:v>
                </c:pt>
              </c:numCache>
            </c:numRef>
          </c:xVal>
          <c:yVal>
            <c:numRef>
              <c:f>Inactive!$H$21:$H$993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1-4123-A2C0-C20336FA1328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Inactive!$D$21:$D$993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39774.5</c:v>
                </c:pt>
                <c:pt idx="2">
                  <c:v>43804</c:v>
                </c:pt>
                <c:pt idx="3">
                  <c:v>43804.5</c:v>
                </c:pt>
                <c:pt idx="4">
                  <c:v>44996</c:v>
                </c:pt>
                <c:pt idx="5">
                  <c:v>45145.5</c:v>
                </c:pt>
              </c:numCache>
            </c:numRef>
          </c:xVal>
          <c:yVal>
            <c:numRef>
              <c:f>Inactive!$I$21:$I$993</c:f>
              <c:numCache>
                <c:formatCode>General</c:formatCode>
                <c:ptCount val="973"/>
                <c:pt idx="1">
                  <c:v>0.28183874999376712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B1-4123-A2C0-C20336FA1328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Inactive!$D$21:$D$44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39774.5</c:v>
                </c:pt>
                <c:pt idx="2">
                  <c:v>43804</c:v>
                </c:pt>
                <c:pt idx="3">
                  <c:v>43804.5</c:v>
                </c:pt>
                <c:pt idx="4">
                  <c:v>44996</c:v>
                </c:pt>
                <c:pt idx="5">
                  <c:v>45145.5</c:v>
                </c:pt>
              </c:numCache>
            </c:numRef>
          </c:xVal>
          <c:yVal>
            <c:numRef>
              <c:f>Inactive!$J$21:$J$993</c:f>
              <c:numCache>
                <c:formatCode>General</c:formatCode>
                <c:ptCount val="973"/>
                <c:pt idx="2">
                  <c:v>9.690000006230548E-3</c:v>
                </c:pt>
                <c:pt idx="3">
                  <c:v>1.5563749999273568E-2</c:v>
                </c:pt>
                <c:pt idx="4">
                  <c:v>-3.929000000061933E-2</c:v>
                </c:pt>
                <c:pt idx="5">
                  <c:v>-7.7838749995862599E-2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B1-4123-A2C0-C20336FA1328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39774.5</c:v>
                </c:pt>
                <c:pt idx="2">
                  <c:v>43804</c:v>
                </c:pt>
                <c:pt idx="3">
                  <c:v>43804.5</c:v>
                </c:pt>
                <c:pt idx="4">
                  <c:v>44996</c:v>
                </c:pt>
                <c:pt idx="5">
                  <c:v>45145.5</c:v>
                </c:pt>
              </c:numCache>
            </c:numRef>
          </c:xVal>
          <c:yVal>
            <c:numRef>
              <c:f>Inactive!$K$21:$K$993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B1-4123-A2C0-C20336FA1328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39774.5</c:v>
                </c:pt>
                <c:pt idx="2">
                  <c:v>43804</c:v>
                </c:pt>
                <c:pt idx="3">
                  <c:v>43804.5</c:v>
                </c:pt>
                <c:pt idx="4">
                  <c:v>44996</c:v>
                </c:pt>
                <c:pt idx="5">
                  <c:v>45145.5</c:v>
                </c:pt>
              </c:numCache>
            </c:numRef>
          </c:xVal>
          <c:yVal>
            <c:numRef>
              <c:f>Inactive!$L$21:$L$993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B1-4123-A2C0-C20336FA1328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39774.5</c:v>
                </c:pt>
                <c:pt idx="2">
                  <c:v>43804</c:v>
                </c:pt>
                <c:pt idx="3">
                  <c:v>43804.5</c:v>
                </c:pt>
                <c:pt idx="4">
                  <c:v>44996</c:v>
                </c:pt>
                <c:pt idx="5">
                  <c:v>45145.5</c:v>
                </c:pt>
              </c:numCache>
            </c:numRef>
          </c:xVal>
          <c:yVal>
            <c:numRef>
              <c:f>Inactive!$M$21:$M$993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B1-4123-A2C0-C20336FA1328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Inactive!$D$21:$D$93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1.1000000000000001E-3</c:v>
                  </c:pt>
                  <c:pt idx="3">
                    <c:v>6.1000000000000004E-3</c:v>
                  </c:pt>
                  <c:pt idx="4">
                    <c:v>2E-3</c:v>
                  </c:pt>
                  <c:pt idx="5">
                    <c:v>3.5999999999999999E-3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39774.5</c:v>
                </c:pt>
                <c:pt idx="2">
                  <c:v>43804</c:v>
                </c:pt>
                <c:pt idx="3">
                  <c:v>43804.5</c:v>
                </c:pt>
                <c:pt idx="4">
                  <c:v>44996</c:v>
                </c:pt>
                <c:pt idx="5">
                  <c:v>45145.5</c:v>
                </c:pt>
              </c:numCache>
            </c:numRef>
          </c:xVal>
          <c:yVal>
            <c:numRef>
              <c:f>Inactive!$N$21:$N$993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B1-4123-A2C0-C20336FA1328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39774.5</c:v>
                </c:pt>
                <c:pt idx="2">
                  <c:v>43804</c:v>
                </c:pt>
                <c:pt idx="3">
                  <c:v>43804.5</c:v>
                </c:pt>
                <c:pt idx="4">
                  <c:v>44996</c:v>
                </c:pt>
                <c:pt idx="5">
                  <c:v>45145.5</c:v>
                </c:pt>
              </c:numCache>
            </c:numRef>
          </c:xVal>
          <c:yVal>
            <c:numRef>
              <c:f>Inactive!$O$21:$O$993</c:f>
              <c:numCache>
                <c:formatCode>General</c:formatCode>
                <c:ptCount val="973"/>
                <c:pt idx="0">
                  <c:v>2.8530967807670691</c:v>
                </c:pt>
                <c:pt idx="1">
                  <c:v>0.27937852669172125</c:v>
                </c:pt>
                <c:pt idx="2">
                  <c:v>1.8638663090755347E-2</c:v>
                </c:pt>
                <c:pt idx="3">
                  <c:v>1.8606309217619632E-2</c:v>
                </c:pt>
                <c:pt idx="4">
                  <c:v>-5.8492970464859795E-2</c:v>
                </c:pt>
                <c:pt idx="5">
                  <c:v>-6.8166778532447125E-2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B1-4123-A2C0-C20336FA1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502048"/>
        <c:axId val="1"/>
      </c:scatterChart>
      <c:valAx>
        <c:axId val="628502048"/>
        <c:scaling>
          <c:orientation val="minMax"/>
          <c:max val="5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0"/>
        <c:min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502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1900605882208652"/>
          <c:w val="0.9731958762886597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57150</xdr:rowOff>
    </xdr:from>
    <xdr:to>
      <xdr:col>15</xdr:col>
      <xdr:colOff>190500</xdr:colOff>
      <xdr:row>18</xdr:row>
      <xdr:rowOff>85725</xdr:rowOff>
    </xdr:to>
    <xdr:graphicFrame macro="">
      <xdr:nvGraphicFramePr>
        <xdr:cNvPr id="51202" name="Chart 1025">
          <a:extLst>
            <a:ext uri="{FF2B5EF4-FFF2-40B4-BE49-F238E27FC236}">
              <a16:creationId xmlns:a16="http://schemas.microsoft.com/office/drawing/2014/main" id="{E91C325E-9450-CC12-E957-E972FB2A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0</xdr:rowOff>
    </xdr:from>
    <xdr:to>
      <xdr:col>12</xdr:col>
      <xdr:colOff>76200</xdr:colOff>
      <xdr:row>18</xdr:row>
      <xdr:rowOff>28575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B24A91B3-29E1-D572-E3FF-0AAFC91A5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46"/>
  <sheetViews>
    <sheetView tabSelected="1" workbookViewId="0">
      <selection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3.2851562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24" t="s">
        <v>39</v>
      </c>
      <c r="B1" s="25"/>
      <c r="C1" s="25"/>
    </row>
    <row r="2" spans="1:7">
      <c r="A2" s="25" t="s">
        <v>26</v>
      </c>
      <c r="B2" s="26" t="s">
        <v>37</v>
      </c>
      <c r="C2" s="25"/>
    </row>
    <row r="3" spans="1:7" ht="13.5" thickBot="1">
      <c r="A3" s="25"/>
      <c r="B3" s="25"/>
      <c r="C3" s="25"/>
    </row>
    <row r="4" spans="1:7" ht="13.5" thickBot="1">
      <c r="A4" s="8" t="s">
        <v>0</v>
      </c>
      <c r="C4" s="27">
        <v>26224.55</v>
      </c>
      <c r="D4" s="28">
        <v>0.6100525</v>
      </c>
    </row>
    <row r="6" spans="1:7">
      <c r="A6" s="8" t="s">
        <v>1</v>
      </c>
    </row>
    <row r="7" spans="1:7">
      <c r="A7" t="s">
        <v>2</v>
      </c>
      <c r="C7">
        <f>+C4</f>
        <v>26224.55</v>
      </c>
    </row>
    <row r="8" spans="1:7">
      <c r="A8" t="s">
        <v>3</v>
      </c>
      <c r="C8">
        <v>0.60998779225372846</v>
      </c>
    </row>
    <row r="9" spans="1:7">
      <c r="A9" s="29" t="s">
        <v>44</v>
      </c>
      <c r="B9" s="30"/>
      <c r="C9" s="31">
        <v>-9.5</v>
      </c>
      <c r="D9" s="30" t="s">
        <v>45</v>
      </c>
      <c r="E9" s="30"/>
    </row>
    <row r="10" spans="1:7" ht="13.5" thickBot="1">
      <c r="A10" s="30"/>
      <c r="B10" s="30"/>
      <c r="C10" s="7" t="s">
        <v>21</v>
      </c>
      <c r="D10" s="7" t="s">
        <v>22</v>
      </c>
      <c r="E10" s="30"/>
    </row>
    <row r="11" spans="1:7">
      <c r="A11" s="30" t="s">
        <v>16</v>
      </c>
      <c r="B11" s="30"/>
      <c r="C11" s="44">
        <f ca="1">INTERCEPT(INDIRECT($G$11):G992,INDIRECT($F$11):F992)</f>
        <v>0.32594714022546017</v>
      </c>
      <c r="D11" s="6"/>
      <c r="E11" s="30"/>
      <c r="F11" s="45" t="str">
        <f>"F"&amp;E19</f>
        <v>F22</v>
      </c>
      <c r="G11" s="15" t="str">
        <f>"G"&amp;E19</f>
        <v>G22</v>
      </c>
    </row>
    <row r="12" spans="1:7">
      <c r="A12" s="30" t="s">
        <v>17</v>
      </c>
      <c r="B12" s="30"/>
      <c r="C12" s="44">
        <f ca="1">SLOPE(INDIRECT($G$11):G992,INDIRECT($F$11):F992)</f>
        <v>-6.744219034512554E-6</v>
      </c>
      <c r="D12" s="6"/>
      <c r="E12" s="30"/>
    </row>
    <row r="13" spans="1:7">
      <c r="A13" s="30" t="s">
        <v>20</v>
      </c>
      <c r="B13" s="30"/>
      <c r="C13" s="6" t="s">
        <v>14</v>
      </c>
      <c r="D13" s="33" t="s">
        <v>55</v>
      </c>
      <c r="E13" s="31">
        <v>1</v>
      </c>
    </row>
    <row r="14" spans="1:7">
      <c r="A14" s="30"/>
      <c r="B14" s="30"/>
      <c r="C14" s="30"/>
      <c r="D14" s="33" t="s">
        <v>46</v>
      </c>
      <c r="E14" s="34">
        <f ca="1">NOW()+15018.5+$C$9/24</f>
        <v>60169.805452546294</v>
      </c>
    </row>
    <row r="15" spans="1:7">
      <c r="A15" s="32" t="s">
        <v>18</v>
      </c>
      <c r="B15" s="30"/>
      <c r="C15" s="17">
        <f ca="1">(C7+C11)+(C8+C12)*INT(MAX(F21:F3533))</f>
        <v>59561.560184332324</v>
      </c>
      <c r="D15" s="33" t="s">
        <v>56</v>
      </c>
      <c r="E15" s="34">
        <f ca="1">ROUND(2*(E14-$C$7)/$C$8,0)/2+E13</f>
        <v>55650</v>
      </c>
    </row>
    <row r="16" spans="1:7">
      <c r="A16" s="35" t="s">
        <v>4</v>
      </c>
      <c r="B16" s="30"/>
      <c r="C16" s="18">
        <f ca="1">+C8+C12</f>
        <v>0.609981048034694</v>
      </c>
      <c r="D16" s="33" t="s">
        <v>47</v>
      </c>
      <c r="E16" s="15">
        <f ca="1">ROUND(2*(E14-$C$15)/$C$16,0)/2+E13</f>
        <v>998</v>
      </c>
    </row>
    <row r="17" spans="1:32" ht="13.5" thickBot="1">
      <c r="A17" s="33" t="s">
        <v>38</v>
      </c>
      <c r="B17" s="30"/>
      <c r="C17" s="30">
        <f>COUNT(C21:C2191)</f>
        <v>17</v>
      </c>
      <c r="D17" s="33" t="s">
        <v>48</v>
      </c>
      <c r="E17" s="36">
        <f ca="1">+$C$15+$C$16*E16-15018.5-$C$9/24</f>
        <v>45152.217103604286</v>
      </c>
    </row>
    <row r="18" spans="1:32">
      <c r="A18" s="35" t="s">
        <v>5</v>
      </c>
      <c r="B18" s="30"/>
      <c r="C18" s="37">
        <f ca="1">+C15</f>
        <v>59561.560184332324</v>
      </c>
      <c r="D18" s="38">
        <f ca="1">+C16</f>
        <v>0.609981048034694</v>
      </c>
      <c r="E18" s="39" t="s">
        <v>49</v>
      </c>
    </row>
    <row r="19" spans="1:32" ht="13.5" thickTop="1">
      <c r="A19" s="46" t="s">
        <v>51</v>
      </c>
      <c r="E19" s="47">
        <v>22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36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 s="40">
        <v>26224.55</v>
      </c>
      <c r="D21" s="40" t="s">
        <v>14</v>
      </c>
      <c r="E21">
        <f t="shared" ref="E21:E31" si="0">+(C21-C$7)/C$8</f>
        <v>0</v>
      </c>
      <c r="F21">
        <f t="shared" ref="F21:F35" si="1">ROUND(2*E21,0)/2</f>
        <v>0</v>
      </c>
      <c r="G21">
        <f t="shared" ref="G21:G31" si="2">+C21-(C$7+F21*C$8)</f>
        <v>0</v>
      </c>
      <c r="H21" s="57">
        <f>G21</f>
        <v>0</v>
      </c>
      <c r="O21">
        <f t="shared" ref="O21:O31" ca="1" si="3">+C$11+C$12*F21</f>
        <v>0.32594714022546017</v>
      </c>
      <c r="Q21" s="2">
        <f t="shared" ref="Q21:Q31" si="4">+C21-15018.5</f>
        <v>11206.05</v>
      </c>
    </row>
    <row r="22" spans="1:32">
      <c r="A22" t="s">
        <v>33</v>
      </c>
      <c r="C22" s="40">
        <v>50489.364999999998</v>
      </c>
      <c r="D22" s="40">
        <v>5.0000000000000001E-3</v>
      </c>
      <c r="E22">
        <f t="shared" si="0"/>
        <v>39779.181334676432</v>
      </c>
      <c r="F22">
        <f t="shared" si="1"/>
        <v>39779</v>
      </c>
      <c r="G22">
        <f t="shared" si="2"/>
        <v>0.11061193893692689</v>
      </c>
      <c r="I22">
        <f>G22</f>
        <v>0.11061193893692689</v>
      </c>
      <c r="O22">
        <f t="shared" ca="1" si="3"/>
        <v>5.7668851251585274E-2</v>
      </c>
      <c r="Q22" s="2">
        <f t="shared" si="4"/>
        <v>35470.864999999998</v>
      </c>
      <c r="AB22" s="6">
        <v>16</v>
      </c>
      <c r="AD22" t="s">
        <v>32</v>
      </c>
      <c r="AF22" t="s">
        <v>30</v>
      </c>
    </row>
    <row r="23" spans="1:32">
      <c r="A23" s="12" t="s">
        <v>34</v>
      </c>
      <c r="B23" s="13"/>
      <c r="C23" s="41">
        <v>52947.299400000004</v>
      </c>
      <c r="D23" s="40">
        <v>1.1000000000000001E-3</v>
      </c>
      <c r="E23">
        <f t="shared" si="0"/>
        <v>43808.662631209678</v>
      </c>
      <c r="F23">
        <f t="shared" si="1"/>
        <v>43808.5</v>
      </c>
      <c r="G23">
        <f t="shared" si="2"/>
        <v>9.9203052537632175E-2</v>
      </c>
      <c r="J23">
        <f t="shared" ref="J23:J31" si="5">G23</f>
        <v>9.9203052537632175E-2</v>
      </c>
      <c r="O23">
        <f t="shared" ca="1" si="3"/>
        <v>3.0493020652016978E-2</v>
      </c>
      <c r="Q23" s="2">
        <f t="shared" si="4"/>
        <v>37928.799400000004</v>
      </c>
    </row>
    <row r="24" spans="1:32">
      <c r="A24" s="12" t="s">
        <v>34</v>
      </c>
      <c r="B24" s="6" t="s">
        <v>35</v>
      </c>
      <c r="C24" s="41">
        <v>52947.6103</v>
      </c>
      <c r="D24" s="40">
        <v>6.1000000000000004E-3</v>
      </c>
      <c r="E24">
        <f t="shared" si="0"/>
        <v>43809.172313540934</v>
      </c>
      <c r="F24">
        <f t="shared" si="1"/>
        <v>43809</v>
      </c>
      <c r="G24">
        <f t="shared" si="2"/>
        <v>0.10510915641498286</v>
      </c>
      <c r="J24">
        <f t="shared" si="5"/>
        <v>0.10510915641498286</v>
      </c>
      <c r="O24">
        <f t="shared" ca="1" si="3"/>
        <v>3.0489648542499692E-2</v>
      </c>
      <c r="Q24" s="2">
        <f t="shared" si="4"/>
        <v>37929.1103</v>
      </c>
    </row>
    <row r="25" spans="1:32">
      <c r="A25" s="20" t="s">
        <v>41</v>
      </c>
      <c r="B25" s="21" t="s">
        <v>42</v>
      </c>
      <c r="C25" s="42">
        <v>53674.432999999997</v>
      </c>
      <c r="D25" s="42">
        <v>2E-3</v>
      </c>
      <c r="E25">
        <f t="shared" si="0"/>
        <v>45000.708782352216</v>
      </c>
      <c r="F25">
        <f t="shared" si="1"/>
        <v>45000.5</v>
      </c>
      <c r="G25">
        <f t="shared" si="2"/>
        <v>0.12735468609025702</v>
      </c>
      <c r="J25">
        <f t="shared" si="5"/>
        <v>0.12735468609025702</v>
      </c>
      <c r="O25">
        <f t="shared" ca="1" si="3"/>
        <v>2.2453911562878015E-2</v>
      </c>
      <c r="Q25" s="2">
        <f t="shared" si="4"/>
        <v>38655.932999999997</v>
      </c>
    </row>
    <row r="26" spans="1:32">
      <c r="A26" s="20" t="s">
        <v>40</v>
      </c>
      <c r="B26" s="21" t="s">
        <v>35</v>
      </c>
      <c r="C26" s="42">
        <v>53765.597300000001</v>
      </c>
      <c r="D26" s="42">
        <v>3.5999999999999999E-3</v>
      </c>
      <c r="E26">
        <f t="shared" si="0"/>
        <v>45150.161445434504</v>
      </c>
      <c r="F26">
        <f t="shared" si="1"/>
        <v>45150</v>
      </c>
      <c r="G26">
        <f t="shared" si="2"/>
        <v>9.847974416334182E-2</v>
      </c>
      <c r="J26">
        <f t="shared" si="5"/>
        <v>9.847974416334182E-2</v>
      </c>
      <c r="O26">
        <f t="shared" ca="1" si="3"/>
        <v>2.1445650817218387E-2</v>
      </c>
      <c r="Q26" s="2">
        <f t="shared" si="4"/>
        <v>38747.097300000001</v>
      </c>
    </row>
    <row r="27" spans="1:32">
      <c r="A27" s="43" t="s">
        <v>50</v>
      </c>
      <c r="B27" s="48" t="s">
        <v>42</v>
      </c>
      <c r="C27" s="42">
        <v>54056.464699999997</v>
      </c>
      <c r="D27" s="42">
        <v>3.2000000000000002E-3</v>
      </c>
      <c r="E27">
        <f t="shared" si="0"/>
        <v>45627.002791595427</v>
      </c>
      <c r="F27">
        <f t="shared" si="1"/>
        <v>45627</v>
      </c>
      <c r="G27">
        <f t="shared" si="2"/>
        <v>1.7028391303028911E-3</v>
      </c>
      <c r="J27">
        <f t="shared" si="5"/>
        <v>1.7028391303028911E-3</v>
      </c>
      <c r="O27">
        <f t="shared" ca="1" si="3"/>
        <v>1.8228658337755888E-2</v>
      </c>
      <c r="Q27" s="2">
        <f t="shared" si="4"/>
        <v>39037.964699999997</v>
      </c>
    </row>
    <row r="28" spans="1:32">
      <c r="A28" s="43" t="s">
        <v>50</v>
      </c>
      <c r="B28" s="48" t="s">
        <v>42</v>
      </c>
      <c r="C28" s="42">
        <v>54085.726499999997</v>
      </c>
      <c r="D28" s="42">
        <v>5.0000000000000001E-3</v>
      </c>
      <c r="E28">
        <f t="shared" si="0"/>
        <v>45674.973915561503</v>
      </c>
      <c r="F28">
        <f t="shared" si="1"/>
        <v>45675</v>
      </c>
      <c r="G28">
        <f t="shared" si="2"/>
        <v>-1.5911189046164509E-2</v>
      </c>
      <c r="J28">
        <f t="shared" si="5"/>
        <v>-1.5911189046164509E-2</v>
      </c>
      <c r="O28">
        <f t="shared" ca="1" si="3"/>
        <v>1.7904935824099244E-2</v>
      </c>
      <c r="Q28" s="2">
        <f t="shared" si="4"/>
        <v>39067.226499999997</v>
      </c>
    </row>
    <row r="29" spans="1:32">
      <c r="A29" s="49" t="s">
        <v>53</v>
      </c>
      <c r="B29" s="50" t="s">
        <v>35</v>
      </c>
      <c r="C29" s="49">
        <v>54405.541490000003</v>
      </c>
      <c r="D29" s="49">
        <v>1.06E-3</v>
      </c>
      <c r="E29">
        <f t="shared" si="0"/>
        <v>46199.271277019157</v>
      </c>
      <c r="F29">
        <f t="shared" si="1"/>
        <v>46199.5</v>
      </c>
      <c r="G29">
        <f t="shared" si="2"/>
        <v>-0.13951822611852549</v>
      </c>
      <c r="J29">
        <f t="shared" si="5"/>
        <v>-0.13951822611852549</v>
      </c>
      <c r="O29">
        <f t="shared" ca="1" si="3"/>
        <v>1.4367592940497442E-2</v>
      </c>
      <c r="Q29" s="2">
        <f t="shared" si="4"/>
        <v>39387.041490000003</v>
      </c>
    </row>
    <row r="30" spans="1:32">
      <c r="A30" s="49" t="s">
        <v>52</v>
      </c>
      <c r="B30" s="50" t="s">
        <v>42</v>
      </c>
      <c r="C30" s="49">
        <v>55140.005100000002</v>
      </c>
      <c r="D30" s="49">
        <v>2.0000000000000001E-4</v>
      </c>
      <c r="E30">
        <f t="shared" si="0"/>
        <v>47403.334078483371</v>
      </c>
      <c r="F30">
        <f t="shared" si="1"/>
        <v>47403.5</v>
      </c>
      <c r="G30">
        <f t="shared" si="2"/>
        <v>-0.10121009960857918</v>
      </c>
      <c r="J30">
        <f t="shared" si="5"/>
        <v>-0.10121009960857918</v>
      </c>
      <c r="O30">
        <f t="shared" ca="1" si="3"/>
        <v>6.2475532229443465E-3</v>
      </c>
      <c r="Q30" s="2">
        <f t="shared" si="4"/>
        <v>40121.505100000002</v>
      </c>
    </row>
    <row r="31" spans="1:32">
      <c r="A31" s="49" t="s">
        <v>54</v>
      </c>
      <c r="B31" s="50" t="s">
        <v>35</v>
      </c>
      <c r="C31" s="49">
        <v>55589.682999999997</v>
      </c>
      <c r="D31" s="49">
        <v>3.0000000000000001E-3</v>
      </c>
      <c r="E31">
        <f t="shared" si="0"/>
        <v>48140.52571692349</v>
      </c>
      <c r="F31">
        <f t="shared" si="1"/>
        <v>48140.5</v>
      </c>
      <c r="G31">
        <f t="shared" si="2"/>
        <v>1.5687009385146666E-2</v>
      </c>
      <c r="J31">
        <f t="shared" si="5"/>
        <v>1.5687009385146666E-2</v>
      </c>
      <c r="O31">
        <f t="shared" ca="1" si="3"/>
        <v>1.2770637945085928E-3</v>
      </c>
      <c r="Q31" s="2">
        <f t="shared" si="4"/>
        <v>40571.182999999997</v>
      </c>
    </row>
    <row r="32" spans="1:32">
      <c r="A32" s="42" t="s">
        <v>57</v>
      </c>
      <c r="B32" s="51" t="s">
        <v>42</v>
      </c>
      <c r="C32" s="42">
        <v>55957.685700000002</v>
      </c>
      <c r="D32" s="42">
        <v>5.0000000000000001E-4</v>
      </c>
      <c r="E32">
        <f>+(C32-C$7)/C$8</f>
        <v>48743.820905242494</v>
      </c>
      <c r="F32">
        <f t="shared" si="1"/>
        <v>48744</v>
      </c>
      <c r="G32">
        <f>+C32-(C$7+F32*C$8)</f>
        <v>-0.10924561573483516</v>
      </c>
      <c r="J32">
        <f>G32</f>
        <v>-0.10924561573483516</v>
      </c>
      <c r="O32">
        <f ca="1">+C$11+C$12*F32</f>
        <v>-2.7930723928197843E-3</v>
      </c>
      <c r="Q32" s="2">
        <f>+C32-15018.5</f>
        <v>40939.185700000002</v>
      </c>
    </row>
    <row r="33" spans="1:17">
      <c r="A33" s="54" t="s">
        <v>58</v>
      </c>
      <c r="B33" s="55" t="s">
        <v>42</v>
      </c>
      <c r="C33" s="22">
        <v>56630.547899999998</v>
      </c>
      <c r="D33" s="56">
        <v>3.0999999999999999E-3</v>
      </c>
      <c r="E33">
        <f>+(C33-C$7)/C$8</f>
        <v>49846.895767632712</v>
      </c>
      <c r="F33">
        <f t="shared" si="1"/>
        <v>49847</v>
      </c>
      <c r="G33">
        <f>+C33-(C$7+F33*C$8)</f>
        <v>-6.3580471607565414E-2</v>
      </c>
      <c r="J33">
        <f>G33</f>
        <v>-6.3580471607565414E-2</v>
      </c>
      <c r="O33">
        <f ca="1">+C$11+C$12*F33</f>
        <v>-1.0231945987887126E-2</v>
      </c>
      <c r="Q33" s="2">
        <f>+C33-15018.5</f>
        <v>41612.047899999998</v>
      </c>
    </row>
    <row r="34" spans="1:17">
      <c r="A34" s="53" t="s">
        <v>59</v>
      </c>
      <c r="B34" s="52" t="s">
        <v>42</v>
      </c>
      <c r="C34" s="53">
        <v>56709.513700000003</v>
      </c>
      <c r="D34" s="53">
        <v>4.0000000000000002E-4</v>
      </c>
      <c r="E34">
        <f>+(C34-C$7)/C$8</f>
        <v>49976.35048951862</v>
      </c>
      <c r="F34">
        <f t="shared" si="1"/>
        <v>49976.5</v>
      </c>
      <c r="G34">
        <f>+C34-(C$7+F34*C$8)</f>
        <v>-9.1199568450974766E-2</v>
      </c>
      <c r="J34">
        <f>G34</f>
        <v>-9.1199568450974766E-2</v>
      </c>
      <c r="O34">
        <f ca="1">+C$11+C$12*F34</f>
        <v>-1.1105322352856495E-2</v>
      </c>
      <c r="Q34" s="2">
        <f>+C34-15018.5</f>
        <v>41691.013700000003</v>
      </c>
    </row>
    <row r="35" spans="1:17">
      <c r="A35" s="53" t="s">
        <v>59</v>
      </c>
      <c r="B35" s="52" t="s">
        <v>42</v>
      </c>
      <c r="C35" s="53">
        <v>56725.368300000002</v>
      </c>
      <c r="D35" s="53">
        <v>8.9999999999999998E-4</v>
      </c>
      <c r="E35">
        <f>+(C35-C$7)/C$8</f>
        <v>50002.342157223015</v>
      </c>
      <c r="F35">
        <f t="shared" si="1"/>
        <v>50002.5</v>
      </c>
      <c r="G35">
        <f>+C35-(C$7+F35*C$8)</f>
        <v>-9.6282167054596357E-2</v>
      </c>
      <c r="J35">
        <f>G35</f>
        <v>-9.6282167054596357E-2</v>
      </c>
      <c r="O35">
        <f ca="1">+C$11+C$12*F35</f>
        <v>-1.1280672047753793E-2</v>
      </c>
      <c r="Q35" s="2">
        <f>+C35-15018.5</f>
        <v>41706.868300000002</v>
      </c>
    </row>
    <row r="36" spans="1:17">
      <c r="A36" s="58" t="s">
        <v>60</v>
      </c>
      <c r="B36" s="59" t="s">
        <v>42</v>
      </c>
      <c r="C36" s="61">
        <v>59530.597399999999</v>
      </c>
      <c r="D36" s="58">
        <v>3.5000000000000001E-3</v>
      </c>
      <c r="E36">
        <f t="shared" ref="E36:E37" si="6">+(C36-C$7)/C$8</f>
        <v>54601.170421696123</v>
      </c>
      <c r="F36">
        <f t="shared" ref="F36:F37" si="7">ROUND(2*E36,0)/2</f>
        <v>54601</v>
      </c>
      <c r="G36">
        <f t="shared" ref="G36:G37" si="8">+C36-(C$7+F36*C$8)</f>
        <v>0.10395515417621937</v>
      </c>
      <c r="J36">
        <f t="shared" ref="J36:J37" si="9">G36</f>
        <v>0.10395515417621937</v>
      </c>
      <c r="O36">
        <f t="shared" ref="O36:O37" ca="1" si="10">+C$11+C$12*F36</f>
        <v>-4.2293963277959812E-2</v>
      </c>
      <c r="Q36" s="2">
        <f t="shared" ref="Q36:Q37" si="11">+C36-15018.5</f>
        <v>44512.097399999999</v>
      </c>
    </row>
    <row r="37" spans="1:17">
      <c r="A37" s="58" t="s">
        <v>60</v>
      </c>
      <c r="B37" s="59" t="s">
        <v>42</v>
      </c>
      <c r="C37" s="61">
        <v>59561.657899999998</v>
      </c>
      <c r="D37" s="58">
        <v>3.5000000000000001E-3</v>
      </c>
      <c r="E37">
        <f t="shared" si="6"/>
        <v>54652.090293199202</v>
      </c>
      <c r="F37">
        <f t="shared" si="7"/>
        <v>54652</v>
      </c>
      <c r="G37">
        <f t="shared" si="8"/>
        <v>5.5077749224437866E-2</v>
      </c>
      <c r="J37">
        <f t="shared" si="9"/>
        <v>5.5077749224437866E-2</v>
      </c>
      <c r="O37">
        <f t="shared" ca="1" si="10"/>
        <v>-4.2637918448719947E-2</v>
      </c>
      <c r="Q37" s="2">
        <f t="shared" si="11"/>
        <v>44543.157899999998</v>
      </c>
    </row>
    <row r="38" spans="1:17">
      <c r="C38" s="40"/>
      <c r="D38" s="40"/>
    </row>
    <row r="39" spans="1:17">
      <c r="C39" s="40"/>
      <c r="D39" s="40"/>
    </row>
    <row r="40" spans="1:17">
      <c r="C40" s="40"/>
      <c r="D40" s="40"/>
    </row>
    <row r="41" spans="1:17">
      <c r="C41" s="40"/>
      <c r="D41" s="40"/>
    </row>
    <row r="42" spans="1:17">
      <c r="C42" s="40"/>
      <c r="D42" s="40"/>
    </row>
    <row r="43" spans="1:17">
      <c r="C43" s="40"/>
      <c r="D43" s="40"/>
    </row>
    <row r="44" spans="1:17">
      <c r="C44" s="40"/>
      <c r="D44" s="40"/>
    </row>
    <row r="45" spans="1:17">
      <c r="C45" s="40"/>
      <c r="D45" s="40"/>
    </row>
    <row r="46" spans="1:17">
      <c r="C46" s="40"/>
      <c r="D46" s="4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>
      <selection activeCell="B7" sqref="B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39</v>
      </c>
    </row>
    <row r="2" spans="1:4">
      <c r="A2" t="s">
        <v>26</v>
      </c>
      <c r="B2" s="16" t="s">
        <v>37</v>
      </c>
      <c r="C2" s="23" t="s">
        <v>43</v>
      </c>
    </row>
    <row r="4" spans="1:4">
      <c r="A4" s="8" t="s">
        <v>0</v>
      </c>
      <c r="C4" s="3">
        <v>26224.55</v>
      </c>
      <c r="D4" s="4">
        <v>0.6100525</v>
      </c>
    </row>
    <row r="6" spans="1:4">
      <c r="A6" s="8" t="s">
        <v>1</v>
      </c>
    </row>
    <row r="7" spans="1:4">
      <c r="A7" t="s">
        <v>2</v>
      </c>
      <c r="C7">
        <f>+C4</f>
        <v>26224.55</v>
      </c>
    </row>
    <row r="8" spans="1:4">
      <c r="A8" t="s">
        <v>3</v>
      </c>
      <c r="C8">
        <f>+D4</f>
        <v>0.6100525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2.8530967807670691</v>
      </c>
      <c r="D11" s="6"/>
    </row>
    <row r="12" spans="1:4">
      <c r="A12" t="s">
        <v>17</v>
      </c>
      <c r="C12">
        <f>SLOPE(G21:G993,F21:F993)</f>
        <v>-6.4707746271489214E-5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7">
        <f>(C7+C11)+(C8+C12)*INT(MAX(F21:F3533))</f>
        <v>53765.301978075338</v>
      </c>
    </row>
    <row r="16" spans="1:4">
      <c r="A16" s="8" t="s">
        <v>4</v>
      </c>
      <c r="C16" s="18">
        <f>+C8+C12</f>
        <v>0.60998779225372846</v>
      </c>
    </row>
    <row r="17" spans="1:32" ht="13.5" thickBot="1">
      <c r="A17" s="19" t="s">
        <v>38</v>
      </c>
      <c r="C17">
        <f>COUNT(C21:C2191)</f>
        <v>8</v>
      </c>
    </row>
    <row r="18" spans="1:32">
      <c r="A18" s="8" t="s">
        <v>5</v>
      </c>
      <c r="C18" s="3">
        <f>+C15</f>
        <v>53765.301978075338</v>
      </c>
      <c r="D18" s="4">
        <f>+C16</f>
        <v>0.60998779225372846</v>
      </c>
    </row>
    <row r="19" spans="1:32" ht="13.5" thickTop="1"/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36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>
        <v>26224.55</v>
      </c>
      <c r="D21" s="6" t="s">
        <v>14</v>
      </c>
      <c r="E21">
        <f t="shared" ref="E21:E26" si="0">+(C21-C$7)/C$8</f>
        <v>0</v>
      </c>
      <c r="F21" s="15">
        <f>ROUND(2*E21,0)/2</f>
        <v>0</v>
      </c>
      <c r="H21">
        <v>0</v>
      </c>
      <c r="O21">
        <f t="shared" ref="O21:O26" si="1">+C$11+C$12*F21</f>
        <v>2.8530967807670691</v>
      </c>
      <c r="Q21" s="2">
        <f t="shared" ref="Q21:Q26" si="2">+C21-15018.5</f>
        <v>11206.05</v>
      </c>
    </row>
    <row r="22" spans="1:32">
      <c r="A22" t="s">
        <v>33</v>
      </c>
      <c r="C22" s="11">
        <v>50489.364999999998</v>
      </c>
      <c r="D22">
        <v>5.0000000000000001E-3</v>
      </c>
      <c r="E22">
        <f t="shared" si="0"/>
        <v>39774.961990976182</v>
      </c>
      <c r="F22">
        <f>ROUND(2*E22,0)/2-0.5</f>
        <v>39774.5</v>
      </c>
      <c r="G22">
        <f>+C22-(C$7+F22*C$8)</f>
        <v>0.28183874999376712</v>
      </c>
      <c r="I22">
        <f>G22</f>
        <v>0.28183874999376712</v>
      </c>
      <c r="O22">
        <f t="shared" si="1"/>
        <v>0.27937852669172125</v>
      </c>
      <c r="Q22" s="2">
        <f t="shared" si="2"/>
        <v>35470.864999999998</v>
      </c>
      <c r="AB22" s="6">
        <v>16</v>
      </c>
      <c r="AD22" t="s">
        <v>32</v>
      </c>
      <c r="AF22" t="s">
        <v>30</v>
      </c>
    </row>
    <row r="23" spans="1:32">
      <c r="A23" s="12" t="s">
        <v>34</v>
      </c>
      <c r="B23" s="13"/>
      <c r="C23" s="14">
        <v>52947.299400000004</v>
      </c>
      <c r="D23">
        <v>1.1000000000000001E-3</v>
      </c>
      <c r="E23">
        <f t="shared" si="0"/>
        <v>43804.015883878856</v>
      </c>
      <c r="F23">
        <f>ROUND(2*E23,0)/2</f>
        <v>43804</v>
      </c>
      <c r="G23">
        <f>+C23-(C$7+F23*C$8)</f>
        <v>9.690000006230548E-3</v>
      </c>
      <c r="J23">
        <f>G23</f>
        <v>9.690000006230548E-3</v>
      </c>
      <c r="O23">
        <f t="shared" si="1"/>
        <v>1.8638663090755347E-2</v>
      </c>
      <c r="Q23" s="2">
        <f t="shared" si="2"/>
        <v>37928.799400000004</v>
      </c>
    </row>
    <row r="24" spans="1:32">
      <c r="A24" s="12" t="s">
        <v>34</v>
      </c>
      <c r="B24" s="6" t="s">
        <v>35</v>
      </c>
      <c r="C24" s="14">
        <v>52947.6103</v>
      </c>
      <c r="D24">
        <v>6.1000000000000004E-3</v>
      </c>
      <c r="E24">
        <f t="shared" si="0"/>
        <v>43804.525512148546</v>
      </c>
      <c r="F24">
        <f>ROUND(2*E24,0)/2</f>
        <v>43804.5</v>
      </c>
      <c r="G24">
        <f>+C24-(C$7+F24*C$8)</f>
        <v>1.5563749999273568E-2</v>
      </c>
      <c r="J24">
        <f>G24</f>
        <v>1.5563749999273568E-2</v>
      </c>
      <c r="O24">
        <f t="shared" si="1"/>
        <v>1.8606309217619632E-2</v>
      </c>
      <c r="Q24" s="2">
        <f t="shared" si="2"/>
        <v>37929.1103</v>
      </c>
    </row>
    <row r="25" spans="1:32">
      <c r="A25" s="20" t="s">
        <v>41</v>
      </c>
      <c r="B25" s="21" t="s">
        <v>42</v>
      </c>
      <c r="C25" s="22">
        <v>53674.432999999997</v>
      </c>
      <c r="D25" s="22">
        <v>2E-3</v>
      </c>
      <c r="E25">
        <f t="shared" si="0"/>
        <v>44995.93559570692</v>
      </c>
      <c r="F25">
        <f>ROUND(2*E25,0)/2</f>
        <v>44996</v>
      </c>
      <c r="G25">
        <f>+C25-(C$7+F25*C$8)</f>
        <v>-3.929000000061933E-2</v>
      </c>
      <c r="J25">
        <f>G25</f>
        <v>-3.929000000061933E-2</v>
      </c>
      <c r="O25">
        <f t="shared" si="1"/>
        <v>-5.8492970464859795E-2</v>
      </c>
      <c r="Q25" s="2">
        <f t="shared" si="2"/>
        <v>38655.932999999997</v>
      </c>
    </row>
    <row r="26" spans="1:32">
      <c r="A26" s="20" t="s">
        <v>40</v>
      </c>
      <c r="B26" s="21" t="s">
        <v>35</v>
      </c>
      <c r="C26" s="22">
        <v>53765.597300000001</v>
      </c>
      <c r="D26" s="22">
        <v>3.5999999999999999E-3</v>
      </c>
      <c r="E26">
        <f t="shared" si="0"/>
        <v>45145.372406473216</v>
      </c>
      <c r="F26">
        <f>ROUND(2*E26,0)/2</f>
        <v>45145.5</v>
      </c>
      <c r="G26">
        <f>+C26-(C$7+F26*C$8)</f>
        <v>-7.7838749995862599E-2</v>
      </c>
      <c r="J26">
        <f>G26</f>
        <v>-7.7838749995862599E-2</v>
      </c>
      <c r="O26">
        <f t="shared" si="1"/>
        <v>-6.8166778532447125E-2</v>
      </c>
      <c r="Q26" s="2">
        <f t="shared" si="2"/>
        <v>38747.097300000001</v>
      </c>
    </row>
    <row r="27" spans="1:32">
      <c r="A27" s="58" t="s">
        <v>60</v>
      </c>
      <c r="B27" s="59" t="s">
        <v>42</v>
      </c>
      <c r="C27" s="60">
        <v>59530.597399999999</v>
      </c>
      <c r="D27" s="58">
        <v>3.5000000000000001E-3</v>
      </c>
      <c r="Q27" s="2"/>
    </row>
    <row r="28" spans="1:32">
      <c r="A28" s="58" t="s">
        <v>60</v>
      </c>
      <c r="B28" s="59" t="s">
        <v>42</v>
      </c>
      <c r="C28" s="60">
        <v>59561.657899999998</v>
      </c>
      <c r="D28" s="58">
        <v>3.5000000000000001E-3</v>
      </c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2023-08-13T07:19:51Z</dcterms:modified>
</cp:coreProperties>
</file>