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DDCB4FD-2C6F-446E-940F-D3E163E02703}" xr6:coauthVersionLast="47" xr6:coauthVersionMax="47" xr10:uidLastSave="{00000000-0000-0000-0000-000000000000}"/>
  <bookViews>
    <workbookView xWindow="14400" yWindow="195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L39" i="1" s="1"/>
  <c r="Q39" i="1"/>
  <c r="E40" i="1"/>
  <c r="F40" i="1" s="1"/>
  <c r="G40" i="1" s="1"/>
  <c r="L40" i="1" s="1"/>
  <c r="Q40" i="1"/>
  <c r="E41" i="1"/>
  <c r="F41" i="1" s="1"/>
  <c r="G41" i="1" s="1"/>
  <c r="K41" i="1" s="1"/>
  <c r="Q41" i="1"/>
  <c r="Q31" i="1"/>
  <c r="Q33" i="1"/>
  <c r="Q38" i="1"/>
  <c r="Q37" i="1"/>
  <c r="B38" i="1"/>
  <c r="F11" i="1"/>
  <c r="Q35" i="1"/>
  <c r="Q36" i="1"/>
  <c r="Q34" i="1"/>
  <c r="Q32" i="1"/>
  <c r="Q28" i="1"/>
  <c r="Q27" i="1"/>
  <c r="Q26" i="1"/>
  <c r="G11" i="1"/>
  <c r="Q29" i="1"/>
  <c r="Q30" i="1"/>
  <c r="E14" i="1"/>
  <c r="E15" i="1" s="1"/>
  <c r="C17" i="1"/>
  <c r="Q25" i="1"/>
  <c r="Q24" i="1"/>
  <c r="Q23" i="1"/>
  <c r="Q22" i="1"/>
  <c r="E22" i="1"/>
  <c r="F22" i="1"/>
  <c r="G22" i="1" s="1"/>
  <c r="I22" i="1" s="1"/>
  <c r="Q21" i="1"/>
  <c r="E30" i="1"/>
  <c r="F30" i="1" s="1"/>
  <c r="G30" i="1" s="1"/>
  <c r="N30" i="1" s="1"/>
  <c r="E28" i="1"/>
  <c r="F28" i="1"/>
  <c r="G28" i="1"/>
  <c r="I28" i="1" s="1"/>
  <c r="E36" i="1"/>
  <c r="F36" i="1" s="1"/>
  <c r="G36" i="1" s="1"/>
  <c r="I36" i="1" s="1"/>
  <c r="E38" i="1"/>
  <c r="F38" i="1"/>
  <c r="G38" i="1" s="1"/>
  <c r="I38" i="1" s="1"/>
  <c r="E24" i="1"/>
  <c r="F24" i="1" s="1"/>
  <c r="G24" i="1" s="1"/>
  <c r="I24" i="1" s="1"/>
  <c r="E31" i="1"/>
  <c r="F31" i="1" s="1"/>
  <c r="G31" i="1" s="1"/>
  <c r="I31" i="1" s="1"/>
  <c r="E29" i="1"/>
  <c r="F29" i="1" s="1"/>
  <c r="G29" i="1" s="1"/>
  <c r="N29" i="1" s="1"/>
  <c r="E27" i="1"/>
  <c r="F27" i="1" s="1"/>
  <c r="G27" i="1" s="1"/>
  <c r="I27" i="1" s="1"/>
  <c r="E33" i="1"/>
  <c r="F33" i="1" s="1"/>
  <c r="G33" i="1" s="1"/>
  <c r="I33" i="1" s="1"/>
  <c r="E23" i="1"/>
  <c r="F23" i="1"/>
  <c r="G23" i="1" s="1"/>
  <c r="J23" i="1" s="1"/>
  <c r="E35" i="1"/>
  <c r="F35" i="1"/>
  <c r="G35" i="1" s="1"/>
  <c r="K35" i="1" s="1"/>
  <c r="E32" i="1"/>
  <c r="F32" i="1"/>
  <c r="G32" i="1" s="1"/>
  <c r="I32" i="1" s="1"/>
  <c r="E37" i="1"/>
  <c r="F37" i="1"/>
  <c r="G37" i="1"/>
  <c r="K37" i="1" s="1"/>
  <c r="E34" i="1"/>
  <c r="F34" i="1" s="1"/>
  <c r="G34" i="1" s="1"/>
  <c r="I34" i="1" s="1"/>
  <c r="E21" i="1"/>
  <c r="F21" i="1" s="1"/>
  <c r="G21" i="1" s="1"/>
  <c r="H21" i="1" s="1"/>
  <c r="E25" i="1"/>
  <c r="F25" i="1"/>
  <c r="G25" i="1" s="1"/>
  <c r="I25" i="1" s="1"/>
  <c r="E26" i="1"/>
  <c r="F26" i="1" s="1"/>
  <c r="G26" i="1" s="1"/>
  <c r="I26" i="1" s="1"/>
  <c r="C12" i="1"/>
  <c r="C16" i="1" l="1"/>
  <c r="D18" i="1" s="1"/>
  <c r="C11" i="1"/>
  <c r="O40" i="1" l="1"/>
  <c r="O39" i="1"/>
  <c r="O41" i="1"/>
  <c r="O22" i="1"/>
  <c r="O28" i="1"/>
  <c r="O36" i="1"/>
  <c r="O26" i="1"/>
  <c r="O37" i="1"/>
  <c r="O35" i="1"/>
  <c r="O32" i="1"/>
  <c r="O30" i="1"/>
  <c r="O21" i="1"/>
  <c r="O27" i="1"/>
  <c r="O31" i="1"/>
  <c r="O33" i="1"/>
  <c r="O24" i="1"/>
  <c r="O25" i="1"/>
  <c r="O34" i="1"/>
  <c r="C15" i="1"/>
  <c r="O29" i="1"/>
  <c r="O23" i="1"/>
  <c r="O38" i="1"/>
  <c r="C18" i="1" l="1"/>
  <c r="E16" i="1"/>
  <c r="E17" i="1" s="1"/>
</calcChain>
</file>

<file path=xl/sharedStrings.xml><?xml version="1.0" encoding="utf-8"?>
<sst xmlns="http://schemas.openxmlformats.org/spreadsheetml/2006/main" count="78" uniqueCount="61">
  <si>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</si>
  <si>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</si>
  <si>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</si>
  <si>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</si>
  <si>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</si>
  <si>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</si>
  <si>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</si>
  <si>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</si>
  <si>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</si>
  <si>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</si>
  <si>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</si>
  <si>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</si>
  <si>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</si>
  <si>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</si>
  <si>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</si>
  <si>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</si>
  <si>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</si>
  <si>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</si>
  <si>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</si>
  <si>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</si>
  <si>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</si>
  <si>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</si>
  <si>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</si>
  <si>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</si>
  <si>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</si>
  <si>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</si>
  <si>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</si>
  <si>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5484</t>
  </si>
  <si>
    <t>IBVS</t>
  </si>
  <si>
    <t>Nelson</t>
  </si>
  <si>
    <t>IBVS 5657</t>
  </si>
  <si>
    <t>IBVS 5672</t>
  </si>
  <si>
    <t xml:space="preserve">GI Aur / GSC 1889-0165 </t>
  </si>
  <si>
    <t># of data points:</t>
  </si>
  <si>
    <t>IBVS 5802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</si>
  <si>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</si>
  <si>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</si>
  <si>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</si>
  <si>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</si>
  <si>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</si>
  <si>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</si>
  <si>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</si>
  <si>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</si>
  <si>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</si>
  <si>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OEJV 0137</t>
  </si>
  <si>
    <t>I</t>
  </si>
  <si>
    <t>IBVS 5820</t>
  </si>
  <si>
    <t>IBVS 5918</t>
  </si>
  <si>
    <t>IBVS 5992</t>
  </si>
  <si>
    <t>IBVS 6010</t>
  </si>
  <si>
    <t>OEJV 0160</t>
  </si>
  <si>
    <t>IBVS 6063</t>
  </si>
  <si>
    <t>p</t>
  </si>
  <si>
    <t>OEJV</t>
  </si>
  <si>
    <t>EB/D:</t>
  </si>
  <si>
    <t>IBVS 5984</t>
  </si>
  <si>
    <t>IBVS 6149</t>
  </si>
  <si>
    <t>OEJV 0168</t>
  </si>
  <si>
    <t>JAAVSO 51, 138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</si>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</sst>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Aur - O-C Diagr.</a:t>
            </a:r>
          </a:p>
        </c:rich>
      </c:tx>
      <c:layout>
        <c:manualLayout>
          <c:xMode val="edge"/>
          <c:yMode val="edge"/>
          <c:x val="0.3881987577639751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5155279503104"/>
          <c:y val="0.14906854902912253"/>
          <c:w val="0.81211180124223603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F1-4C80-824E-A35920D885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1.9812999998976011E-2</c:v>
                </c:pt>
                <c:pt idx="3">
                  <c:v>2.0688999997219071E-2</c:v>
                </c:pt>
                <c:pt idx="4">
                  <c:v>2.1994000002450775E-2</c:v>
                </c:pt>
                <c:pt idx="5">
                  <c:v>2.3210999999719206E-2</c:v>
                </c:pt>
                <c:pt idx="6">
                  <c:v>2.3834999999962747E-2</c:v>
                </c:pt>
                <c:pt idx="7">
                  <c:v>2.4434999999357387E-2</c:v>
                </c:pt>
                <c:pt idx="10">
                  <c:v>2.8535999997984618E-2</c:v>
                </c:pt>
                <c:pt idx="11">
                  <c:v>2.5078999991819728E-2</c:v>
                </c:pt>
                <c:pt idx="12">
                  <c:v>3.7423000001581386E-2</c:v>
                </c:pt>
                <c:pt idx="13">
                  <c:v>2.9740000005403999E-2</c:v>
                </c:pt>
                <c:pt idx="15">
                  <c:v>3.1051999998453539E-2</c:v>
                </c:pt>
                <c:pt idx="17">
                  <c:v>2.9156999997212552E-2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F1-4C80-824E-A35920D885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2.2203000000445172E-2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F1-4C80-824E-A35920D885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4">
                  <c:v>2.6547000001301058E-2</c:v>
                </c:pt>
                <c:pt idx="16">
                  <c:v>2.9535000001487788E-2</c:v>
                </c:pt>
                <c:pt idx="20">
                  <c:v>2.9969999995955732E-2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F1-4C80-824E-A35920D885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18">
                  <c:v>3.2193000180996023E-2</c:v>
                </c:pt>
                <c:pt idx="19">
                  <c:v>3.6712000117404386E-2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F1-4C80-824E-A35920D885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F1-4C80-824E-A35920D885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8">
                  <c:v>2.8105999997933395E-2</c:v>
                </c:pt>
                <c:pt idx="9">
                  <c:v>2.5943000000552274E-2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F1-4C80-824E-A35920D885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-2.6362893995582337E-2</c:v>
                </c:pt>
                <c:pt idx="1">
                  <c:v>2.1123887645138957E-2</c:v>
                </c:pt>
                <c:pt idx="2">
                  <c:v>2.2949371817331012E-2</c:v>
                </c:pt>
                <c:pt idx="3">
                  <c:v>2.2953770574372437E-2</c:v>
                </c:pt>
                <c:pt idx="4">
                  <c:v>2.4350375935025398E-2</c:v>
                </c:pt>
                <c:pt idx="5">
                  <c:v>2.4832039831061609E-2</c:v>
                </c:pt>
                <c:pt idx="6">
                  <c:v>2.564141112668411E-2</c:v>
                </c:pt>
                <c:pt idx="7">
                  <c:v>2.564141112668411E-2</c:v>
                </c:pt>
                <c:pt idx="8">
                  <c:v>2.6382601688164503E-2</c:v>
                </c:pt>
                <c:pt idx="9">
                  <c:v>2.6776290443372187E-2</c:v>
                </c:pt>
                <c:pt idx="10">
                  <c:v>2.6976433888757097E-2</c:v>
                </c:pt>
                <c:pt idx="11">
                  <c:v>2.6978633267277813E-2</c:v>
                </c:pt>
                <c:pt idx="12">
                  <c:v>2.6996228295443521E-2</c:v>
                </c:pt>
                <c:pt idx="13">
                  <c:v>2.7038016487337072E-2</c:v>
                </c:pt>
                <c:pt idx="14">
                  <c:v>2.7651643094616089E-2</c:v>
                </c:pt>
                <c:pt idx="15">
                  <c:v>2.832245354343365E-2</c:v>
                </c:pt>
                <c:pt idx="16">
                  <c:v>2.8984466478168359E-2</c:v>
                </c:pt>
                <c:pt idx="17">
                  <c:v>2.905924534787261E-2</c:v>
                </c:pt>
                <c:pt idx="18">
                  <c:v>3.4232183628590339E-2</c:v>
                </c:pt>
                <c:pt idx="19">
                  <c:v>3.430476311977388E-2</c:v>
                </c:pt>
                <c:pt idx="20">
                  <c:v>3.4977772947112157E-2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F1-4C80-824E-A35920D88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423184"/>
        <c:axId val="1"/>
      </c:scatterChart>
      <c:valAx>
        <c:axId val="51142318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447204968944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2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80745341614906"/>
          <c:y val="0.91925596256989606"/>
          <c:w val="0.7484472049689441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Aur - O-C Diagr.</a:t>
            </a:r>
          </a:p>
        </c:rich>
      </c:tx>
      <c:layout>
        <c:manualLayout>
          <c:xMode val="edge"/>
          <c:yMode val="edge"/>
          <c:x val="0.3525773195876288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860681114551083"/>
          <c:w val="0.76288659793814428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E4-4C86-B083-1D8C5F07BF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1.9812999998976011E-2</c:v>
                </c:pt>
                <c:pt idx="3">
                  <c:v>2.0688999997219071E-2</c:v>
                </c:pt>
                <c:pt idx="4">
                  <c:v>2.1994000002450775E-2</c:v>
                </c:pt>
                <c:pt idx="5">
                  <c:v>2.3210999999719206E-2</c:v>
                </c:pt>
                <c:pt idx="6">
                  <c:v>2.3834999999962747E-2</c:v>
                </c:pt>
                <c:pt idx="7">
                  <c:v>2.4434999999357387E-2</c:v>
                </c:pt>
                <c:pt idx="10">
                  <c:v>2.8535999997984618E-2</c:v>
                </c:pt>
                <c:pt idx="11">
                  <c:v>2.5078999991819728E-2</c:v>
                </c:pt>
                <c:pt idx="12">
                  <c:v>3.7423000001581386E-2</c:v>
                </c:pt>
                <c:pt idx="13">
                  <c:v>2.9740000005403999E-2</c:v>
                </c:pt>
                <c:pt idx="15">
                  <c:v>3.1051999998453539E-2</c:v>
                </c:pt>
                <c:pt idx="17">
                  <c:v>2.9156999997212552E-2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E4-4C86-B083-1D8C5F07BF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2.2203000000445172E-2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E4-4C86-B083-1D8C5F07BF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4">
                  <c:v>2.6547000001301058E-2</c:v>
                </c:pt>
                <c:pt idx="16">
                  <c:v>2.9535000001487788E-2</c:v>
                </c:pt>
                <c:pt idx="20">
                  <c:v>2.9969999995955732E-2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E4-4C86-B083-1D8C5F07BF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18">
                  <c:v>3.2193000180996023E-2</c:v>
                </c:pt>
                <c:pt idx="19">
                  <c:v>3.6712000117404386E-2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E4-4C86-B083-1D8C5F07BF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E4-4C86-B083-1D8C5F07BF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  <c:pt idx="3">
                    <c:v>1.6999999999999999E-3</c:v>
                  </c:pt>
                  <c:pt idx="4">
                    <c:v>1.9E-3</c:v>
                  </c:pt>
                  <c:pt idx="5">
                    <c:v>2.0000000000000001E-4</c:v>
                  </c:pt>
                  <c:pt idx="6">
                    <c:v>8.0000000000000004E-4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7.4000000000000003E-3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2.2000000000000001E-3</c:v>
                  </c:pt>
                  <c:pt idx="14">
                    <c:v>2.0000000000000001E-4</c:v>
                  </c:pt>
                  <c:pt idx="15">
                    <c:v>1.7000000000000001E-4</c:v>
                  </c:pt>
                  <c:pt idx="16">
                    <c:v>2.9999999999999997E-4</c:v>
                  </c:pt>
                  <c:pt idx="17">
                    <c:v>1.9E-3</c:v>
                  </c:pt>
                  <c:pt idx="20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8">
                  <c:v>2.8105999997933395E-2</c:v>
                </c:pt>
                <c:pt idx="9">
                  <c:v>2.5943000000552274E-2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E4-4C86-B083-1D8C5F07BF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21591</c:v>
                </c:pt>
                <c:pt idx="2">
                  <c:v>22421</c:v>
                </c:pt>
                <c:pt idx="3">
                  <c:v>22423</c:v>
                </c:pt>
                <c:pt idx="4">
                  <c:v>23058</c:v>
                </c:pt>
                <c:pt idx="5">
                  <c:v>23277</c:v>
                </c:pt>
                <c:pt idx="6">
                  <c:v>23645</c:v>
                </c:pt>
                <c:pt idx="7">
                  <c:v>23645</c:v>
                </c:pt>
                <c:pt idx="8">
                  <c:v>23982</c:v>
                </c:pt>
                <c:pt idx="9">
                  <c:v>24161</c:v>
                </c:pt>
                <c:pt idx="10">
                  <c:v>24252</c:v>
                </c:pt>
                <c:pt idx="11">
                  <c:v>24253</c:v>
                </c:pt>
                <c:pt idx="12">
                  <c:v>24261</c:v>
                </c:pt>
                <c:pt idx="13">
                  <c:v>24280</c:v>
                </c:pt>
                <c:pt idx="14">
                  <c:v>24559</c:v>
                </c:pt>
                <c:pt idx="15">
                  <c:v>24864</c:v>
                </c:pt>
                <c:pt idx="16">
                  <c:v>25165</c:v>
                </c:pt>
                <c:pt idx="17">
                  <c:v>25199</c:v>
                </c:pt>
                <c:pt idx="18">
                  <c:v>27551</c:v>
                </c:pt>
                <c:pt idx="19">
                  <c:v>27584</c:v>
                </c:pt>
                <c:pt idx="20">
                  <c:v>27890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-2.6362893995582337E-2</c:v>
                </c:pt>
                <c:pt idx="1">
                  <c:v>2.1123887645138957E-2</c:v>
                </c:pt>
                <c:pt idx="2">
                  <c:v>2.2949371817331012E-2</c:v>
                </c:pt>
                <c:pt idx="3">
                  <c:v>2.2953770574372437E-2</c:v>
                </c:pt>
                <c:pt idx="4">
                  <c:v>2.4350375935025398E-2</c:v>
                </c:pt>
                <c:pt idx="5">
                  <c:v>2.4832039831061609E-2</c:v>
                </c:pt>
                <c:pt idx="6">
                  <c:v>2.564141112668411E-2</c:v>
                </c:pt>
                <c:pt idx="7">
                  <c:v>2.564141112668411E-2</c:v>
                </c:pt>
                <c:pt idx="8">
                  <c:v>2.6382601688164503E-2</c:v>
                </c:pt>
                <c:pt idx="9">
                  <c:v>2.6776290443372187E-2</c:v>
                </c:pt>
                <c:pt idx="10">
                  <c:v>2.6976433888757097E-2</c:v>
                </c:pt>
                <c:pt idx="11">
                  <c:v>2.6978633267277813E-2</c:v>
                </c:pt>
                <c:pt idx="12">
                  <c:v>2.6996228295443521E-2</c:v>
                </c:pt>
                <c:pt idx="13">
                  <c:v>2.7038016487337072E-2</c:v>
                </c:pt>
                <c:pt idx="14">
                  <c:v>2.7651643094616089E-2</c:v>
                </c:pt>
                <c:pt idx="15">
                  <c:v>2.832245354343365E-2</c:v>
                </c:pt>
                <c:pt idx="16">
                  <c:v>2.8984466478168359E-2</c:v>
                </c:pt>
                <c:pt idx="17">
                  <c:v>2.905924534787261E-2</c:v>
                </c:pt>
                <c:pt idx="18">
                  <c:v>3.4232183628590339E-2</c:v>
                </c:pt>
                <c:pt idx="19">
                  <c:v>3.430476311977388E-2</c:v>
                </c:pt>
                <c:pt idx="20">
                  <c:v>3.4977772947112157E-2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E4-4C86-B083-1D8C5F07B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31296"/>
        <c:axId val="1"/>
      </c:scatterChart>
      <c:valAx>
        <c:axId val="50963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631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19587628865979"/>
          <c:y val="0.86068111455108354"/>
          <c:w val="0.76288659793814428"/>
          <c:h val="0.12074303405572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9525</xdr:rowOff>
    </xdr:from>
    <xdr:to>
      <xdr:col>15</xdr:col>
      <xdr:colOff>466725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4D84CD8-51F6-E8AA-8FFD-583027326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24</xdr:col>
      <xdr:colOff>504825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929257F-70F0-36FF-7079-B4A63D544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workbookViewId="0">
      <pane xSplit="14" ySplit="22" topLeftCell="O25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32</v>
      </c>
      <c r="B1" s="11"/>
      <c r="C1" s="12"/>
    </row>
    <row r="2" spans="1:7">
      <c r="A2" t="s">
        <v>24</v>
      </c>
      <c r="B2" s="41" t="s">
        <v>54</v>
      </c>
    </row>
    <row r="4" spans="1:7">
      <c r="A4" s="7" t="s">
        <v>0</v>
      </c>
      <c r="C4" s="3">
        <v>26297.507000000001</v>
      </c>
      <c r="D4" s="4">
        <v>1.207857</v>
      </c>
    </row>
    <row r="6" spans="1:7">
      <c r="A6" s="7" t="s">
        <v>1</v>
      </c>
    </row>
    <row r="7" spans="1:7">
      <c r="A7" t="s">
        <v>2</v>
      </c>
      <c r="C7">
        <v>26297.507000000001</v>
      </c>
    </row>
    <row r="8" spans="1:7">
      <c r="A8" t="s">
        <v>3</v>
      </c>
      <c r="C8">
        <v>1.207857</v>
      </c>
    </row>
    <row r="9" spans="1:7">
      <c r="A9" s="13" t="s">
        <v>35</v>
      </c>
      <c r="B9" s="14"/>
      <c r="C9" s="15">
        <v>-9.5</v>
      </c>
      <c r="D9" s="14" t="s">
        <v>36</v>
      </c>
      <c r="E9" s="14"/>
    </row>
    <row r="10" spans="1:7" ht="13.5" thickBot="1">
      <c r="A10" s="14"/>
      <c r="B10" s="14"/>
      <c r="C10" s="6" t="s">
        <v>20</v>
      </c>
      <c r="D10" s="6" t="s">
        <v>21</v>
      </c>
      <c r="E10" s="14"/>
    </row>
    <row r="11" spans="1:7">
      <c r="A11" s="14" t="s">
        <v>16</v>
      </c>
      <c r="B11" s="14"/>
      <c r="C11" s="26">
        <f ca="1">INTERCEPT(INDIRECT($G$11):G992,INDIRECT($F$11):F992)</f>
        <v>-2.6362893995582337E-2</v>
      </c>
      <c r="D11" s="5"/>
      <c r="E11" s="14"/>
      <c r="F11" s="27" t="str">
        <f>"F"&amp;E19</f>
        <v>F22</v>
      </c>
      <c r="G11" s="28" t="str">
        <f>"G"&amp;E19</f>
        <v>G22</v>
      </c>
    </row>
    <row r="12" spans="1:7">
      <c r="A12" s="14" t="s">
        <v>17</v>
      </c>
      <c r="B12" s="14"/>
      <c r="C12" s="26">
        <f ca="1">SLOPE(INDIRECT($G$11):G992,INDIRECT($F$11):F992)</f>
        <v>2.19937852071332E-6</v>
      </c>
      <c r="D12" s="5"/>
      <c r="E12" s="14"/>
    </row>
    <row r="13" spans="1:7">
      <c r="A13" s="14" t="s">
        <v>19</v>
      </c>
      <c r="B13" s="14"/>
      <c r="C13" s="5" t="s">
        <v>14</v>
      </c>
      <c r="D13" s="18" t="s">
        <v>42</v>
      </c>
      <c r="E13" s="15">
        <v>1</v>
      </c>
    </row>
    <row r="14" spans="1:7">
      <c r="A14" s="14"/>
      <c r="B14" s="14"/>
      <c r="C14" s="14"/>
      <c r="D14" s="18" t="s">
        <v>37</v>
      </c>
      <c r="E14" s="19">
        <f ca="1">NOW()+15018.5+$C$9/24</f>
        <v>60175.77798032407</v>
      </c>
    </row>
    <row r="15" spans="1:7">
      <c r="A15" s="16" t="s">
        <v>18</v>
      </c>
      <c r="B15" s="14"/>
      <c r="C15" s="17">
        <f ca="1">(C7+C11)+(C8+C12)*INT(MAX(F21:F3533))</f>
        <v>59984.673707772949</v>
      </c>
      <c r="D15" s="18" t="s">
        <v>43</v>
      </c>
      <c r="E15" s="19">
        <f ca="1">ROUND(2*(E14-$C$7)/$C$8,0)/2+E13</f>
        <v>28049</v>
      </c>
    </row>
    <row r="16" spans="1:7">
      <c r="A16" s="20" t="s">
        <v>4</v>
      </c>
      <c r="B16" s="14"/>
      <c r="C16" s="21">
        <f ca="1">+C8+C12</f>
        <v>1.2078591993785206</v>
      </c>
      <c r="D16" s="18" t="s">
        <v>38</v>
      </c>
      <c r="E16" s="28">
        <f ca="1">ROUND(2*(E14-$C$15)/$C$16,0)/2+E13</f>
        <v>159</v>
      </c>
    </row>
    <row r="17" spans="1:17" ht="13.5" thickBot="1">
      <c r="A17" s="18" t="s">
        <v>33</v>
      </c>
      <c r="B17" s="14"/>
      <c r="C17" s="14">
        <f>COUNT(C21:C2191)</f>
        <v>21</v>
      </c>
      <c r="D17" s="18" t="s">
        <v>39</v>
      </c>
      <c r="E17" s="22">
        <f ca="1">+$C$15+$C$16*E16-15018.5-$C$9/24</f>
        <v>45158.619153807471</v>
      </c>
    </row>
    <row r="18" spans="1:17" ht="14.25" thickTop="1" thickBot="1">
      <c r="A18" s="20" t="s">
        <v>5</v>
      </c>
      <c r="B18" s="14"/>
      <c r="C18" s="23">
        <f ca="1">+C15</f>
        <v>59984.673707772949</v>
      </c>
      <c r="D18" s="24">
        <f ca="1">+C16</f>
        <v>1.2078591993785206</v>
      </c>
      <c r="E18" s="25" t="s">
        <v>40</v>
      </c>
    </row>
    <row r="19" spans="1:17" ht="13.5" thickTop="1">
      <c r="A19" s="29" t="s">
        <v>41</v>
      </c>
      <c r="E19" s="30">
        <v>22</v>
      </c>
    </row>
    <row r="20" spans="1:17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28</v>
      </c>
      <c r="J20" s="9" t="s">
        <v>29</v>
      </c>
      <c r="K20" s="9" t="s">
        <v>53</v>
      </c>
      <c r="L20" s="9" t="s">
        <v>60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</row>
    <row r="21" spans="1:17">
      <c r="A21" t="s">
        <v>12</v>
      </c>
      <c r="C21" s="10">
        <v>26297.507000000001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-2.6362893995582337E-2</v>
      </c>
      <c r="Q21" s="2">
        <f>+C21-15018.5</f>
        <v>11279.007000000001</v>
      </c>
    </row>
    <row r="22" spans="1:17">
      <c r="A22" t="s">
        <v>27</v>
      </c>
      <c r="C22" s="10">
        <v>52376.367299999998</v>
      </c>
      <c r="D22" s="10">
        <v>1E-3</v>
      </c>
      <c r="E22">
        <f>+(C22-C$7)/C$8</f>
        <v>21591.016403431862</v>
      </c>
      <c r="F22">
        <f>ROUND(2*E22,0)/2</f>
        <v>21591</v>
      </c>
      <c r="G22">
        <f>+C22-(C$7+F22*C$8)</f>
        <v>1.9812999998976011E-2</v>
      </c>
      <c r="I22">
        <f>G22</f>
        <v>1.9812999998976011E-2</v>
      </c>
      <c r="O22">
        <f ca="1">+C$11+C$12*F22</f>
        <v>2.1123887645138957E-2</v>
      </c>
      <c r="Q22" s="2">
        <f>+C22-15018.5</f>
        <v>37357.867299999998</v>
      </c>
    </row>
    <row r="23" spans="1:17">
      <c r="A23" s="7" t="s">
        <v>31</v>
      </c>
      <c r="C23" s="10">
        <v>53378.891000000003</v>
      </c>
      <c r="D23" s="10">
        <v>1E-4</v>
      </c>
      <c r="E23">
        <f>+(C23-C$7)/C$8</f>
        <v>22421.01838214292</v>
      </c>
      <c r="F23">
        <f>ROUND(2*E23,0)/2</f>
        <v>22421</v>
      </c>
      <c r="G23">
        <f>+C23-(C$7+F23*C$8)</f>
        <v>2.2203000000445172E-2</v>
      </c>
      <c r="J23">
        <f>G23</f>
        <v>2.2203000000445172E-2</v>
      </c>
      <c r="O23">
        <f ca="1">+C$11+C$12*F23</f>
        <v>2.2949371817331012E-2</v>
      </c>
      <c r="Q23" s="2">
        <f>+C23-15018.5</f>
        <v>38360.391000000003</v>
      </c>
    </row>
    <row r="24" spans="1:17">
      <c r="A24" s="34" t="s">
        <v>30</v>
      </c>
      <c r="B24" s="35"/>
      <c r="C24" s="36">
        <v>53381.305200000003</v>
      </c>
      <c r="D24" s="36">
        <v>1.6999999999999999E-3</v>
      </c>
      <c r="E24">
        <f>+(C24-C$7)/C$8</f>
        <v>22423.017128683281</v>
      </c>
      <c r="F24">
        <f>ROUND(2*E24,0)/2</f>
        <v>22423</v>
      </c>
      <c r="G24">
        <f>+C24-(C$7+F24*C$8)</f>
        <v>2.0688999997219071E-2</v>
      </c>
      <c r="I24">
        <f>G24</f>
        <v>2.0688999997219071E-2</v>
      </c>
      <c r="O24">
        <f ca="1">+C$11+C$12*F24</f>
        <v>2.2953770574372437E-2</v>
      </c>
      <c r="Q24" s="2">
        <f>+C24-15018.5</f>
        <v>38362.805200000003</v>
      </c>
    </row>
    <row r="25" spans="1:17">
      <c r="A25" s="36" t="s">
        <v>34</v>
      </c>
      <c r="B25" s="35"/>
      <c r="C25" s="36">
        <v>54148.295700000002</v>
      </c>
      <c r="D25" s="36">
        <v>1.9E-3</v>
      </c>
      <c r="E25">
        <f>+(C25-C$7)/C$8</f>
        <v>23058.018209109192</v>
      </c>
      <c r="F25">
        <f>ROUND(2*E25,0)/2</f>
        <v>23058</v>
      </c>
      <c r="G25">
        <f>+C25-(C$7+F25*C$8)</f>
        <v>2.1994000002450775E-2</v>
      </c>
      <c r="I25">
        <f>G25</f>
        <v>2.1994000002450775E-2</v>
      </c>
      <c r="O25">
        <f ca="1">+C$11+C$12*F25</f>
        <v>2.4350375935025398E-2</v>
      </c>
      <c r="Q25" s="2">
        <f>+C25-15018.5</f>
        <v>39129.795700000002</v>
      </c>
    </row>
    <row r="26" spans="1:17">
      <c r="A26" s="37" t="s">
        <v>46</v>
      </c>
      <c r="B26" s="38" t="s">
        <v>45</v>
      </c>
      <c r="C26" s="37">
        <v>54412.817600000002</v>
      </c>
      <c r="D26" s="37">
        <v>2.0000000000000001E-4</v>
      </c>
      <c r="E26">
        <f>+(C26-C$7)/C$8</f>
        <v>23277.019216678797</v>
      </c>
      <c r="F26">
        <f>ROUND(2*E26,0)/2</f>
        <v>23277</v>
      </c>
      <c r="G26">
        <f>+C26-(C$7+F26*C$8)</f>
        <v>2.3210999999719206E-2</v>
      </c>
      <c r="I26">
        <f>G26</f>
        <v>2.3210999999719206E-2</v>
      </c>
      <c r="O26">
        <f ca="1">+C$11+C$12*F26</f>
        <v>2.4832039831061609E-2</v>
      </c>
      <c r="Q26" s="2">
        <f>+C26-15018.5</f>
        <v>39394.317600000002</v>
      </c>
    </row>
    <row r="27" spans="1:17">
      <c r="A27" s="37" t="s">
        <v>47</v>
      </c>
      <c r="B27" s="38" t="s">
        <v>45</v>
      </c>
      <c r="C27" s="37">
        <v>54857.309600000001</v>
      </c>
      <c r="D27" s="37">
        <v>8.0000000000000004E-4</v>
      </c>
      <c r="E27">
        <f>+(C27-C$7)/C$8</f>
        <v>23645.019733296242</v>
      </c>
      <c r="F27">
        <f>ROUND(2*E27,0)/2</f>
        <v>23645</v>
      </c>
      <c r="G27">
        <f>+C27-(C$7+F27*C$8)</f>
        <v>2.3834999999962747E-2</v>
      </c>
      <c r="I27">
        <f>G27</f>
        <v>2.3834999999962747E-2</v>
      </c>
      <c r="O27">
        <f ca="1">+C$11+C$12*F27</f>
        <v>2.564141112668411E-2</v>
      </c>
      <c r="Q27" s="2">
        <f>+C27-15018.5</f>
        <v>39838.809600000001</v>
      </c>
    </row>
    <row r="28" spans="1:17">
      <c r="A28" s="37" t="s">
        <v>47</v>
      </c>
      <c r="B28" s="38" t="s">
        <v>45</v>
      </c>
      <c r="C28" s="37">
        <v>54857.3102</v>
      </c>
      <c r="D28" s="37">
        <v>1E-3</v>
      </c>
      <c r="E28">
        <f>+(C28-C$7)/C$8</f>
        <v>23645.020230043789</v>
      </c>
      <c r="F28">
        <f>ROUND(2*E28,0)/2</f>
        <v>23645</v>
      </c>
      <c r="G28">
        <f>+C28-(C$7+F28*C$8)</f>
        <v>2.4434999999357387E-2</v>
      </c>
      <c r="I28">
        <f>G28</f>
        <v>2.4434999999357387E-2</v>
      </c>
      <c r="O28">
        <f ca="1">+C$11+C$12*F28</f>
        <v>2.564141112668411E-2</v>
      </c>
      <c r="Q28" s="2">
        <f>+C28-15018.5</f>
        <v>39838.8102</v>
      </c>
    </row>
    <row r="29" spans="1:17">
      <c r="A29" s="39" t="s">
        <v>44</v>
      </c>
      <c r="B29" s="40" t="s">
        <v>45</v>
      </c>
      <c r="C29" s="36">
        <v>55264.361680000002</v>
      </c>
      <c r="D29" s="36">
        <v>1E-4</v>
      </c>
      <c r="E29">
        <f>+(C29-C$7)/C$8</f>
        <v>23982.023269310856</v>
      </c>
      <c r="F29">
        <f>ROUND(2*E29,0)/2</f>
        <v>23982</v>
      </c>
      <c r="G29">
        <f>+C29-(C$7+F29*C$8)</f>
        <v>2.8105999997933395E-2</v>
      </c>
      <c r="N29">
        <f>G29</f>
        <v>2.8105999997933395E-2</v>
      </c>
      <c r="O29">
        <f ca="1">+C$11+C$12*F29</f>
        <v>2.6382601688164503E-2</v>
      </c>
      <c r="Q29" s="2">
        <f>+C29-15018.5</f>
        <v>40245.861680000002</v>
      </c>
    </row>
    <row r="30" spans="1:17">
      <c r="A30" s="39" t="s">
        <v>44</v>
      </c>
      <c r="B30" s="40" t="s">
        <v>45</v>
      </c>
      <c r="C30" s="36">
        <v>55480.565920000001</v>
      </c>
      <c r="D30" s="36">
        <v>2.0000000000000001E-4</v>
      </c>
      <c r="E30">
        <f>+(C30-C$7)/C$8</f>
        <v>24161.021478535953</v>
      </c>
      <c r="F30">
        <f>ROUND(2*E30,0)/2</f>
        <v>24161</v>
      </c>
      <c r="G30">
        <f>+C30-(C$7+F30*C$8)</f>
        <v>2.5943000000552274E-2</v>
      </c>
      <c r="N30">
        <f>G30</f>
        <v>2.5943000000552274E-2</v>
      </c>
      <c r="O30">
        <f ca="1">+C$11+C$12*F30</f>
        <v>2.6776290443372187E-2</v>
      </c>
      <c r="Q30" s="2">
        <f>+C30-15018.5</f>
        <v>40462.065920000001</v>
      </c>
    </row>
    <row r="31" spans="1:17">
      <c r="A31" s="42" t="s">
        <v>55</v>
      </c>
      <c r="B31" s="42"/>
      <c r="C31" s="43">
        <v>55590.483500000002</v>
      </c>
      <c r="D31" s="43">
        <v>7.4000000000000003E-3</v>
      </c>
      <c r="E31">
        <f>+(C31-C$7)/C$8</f>
        <v>24252.023625313264</v>
      </c>
      <c r="F31">
        <f>ROUND(2*E31,0)/2</f>
        <v>24252</v>
      </c>
      <c r="G31">
        <f>+C31-(C$7+F31*C$8)</f>
        <v>2.8535999997984618E-2</v>
      </c>
      <c r="I31">
        <f>G31</f>
        <v>2.8535999997984618E-2</v>
      </c>
      <c r="O31">
        <f ca="1">+C$11+C$12*F31</f>
        <v>2.6976433888757097E-2</v>
      </c>
      <c r="Q31" s="2">
        <f>+C31-15018.5</f>
        <v>40571.983500000002</v>
      </c>
    </row>
    <row r="32" spans="1:17">
      <c r="A32" s="37" t="s">
        <v>48</v>
      </c>
      <c r="B32" s="38" t="s">
        <v>45</v>
      </c>
      <c r="C32" s="37">
        <v>55591.687899999997</v>
      </c>
      <c r="D32" s="37">
        <v>4.0000000000000002E-4</v>
      </c>
      <c r="E32">
        <f>+(C32-C$7)/C$8</f>
        <v>24253.020763219483</v>
      </c>
      <c r="F32">
        <f>ROUND(2*E32,0)/2</f>
        <v>24253</v>
      </c>
      <c r="G32">
        <f>+C32-(C$7+F32*C$8)</f>
        <v>2.5078999991819728E-2</v>
      </c>
      <c r="I32">
        <f>G32</f>
        <v>2.5078999991819728E-2</v>
      </c>
      <c r="O32">
        <f ca="1">+C$11+C$12*F32</f>
        <v>2.6978633267277813E-2</v>
      </c>
      <c r="Q32" s="2">
        <f>+C32-15018.5</f>
        <v>40573.187899999997</v>
      </c>
    </row>
    <row r="33" spans="1:17">
      <c r="A33" s="42" t="s">
        <v>55</v>
      </c>
      <c r="B33" s="42"/>
      <c r="C33" s="43">
        <v>55601.363100000002</v>
      </c>
      <c r="D33" s="43">
        <v>1.4E-3</v>
      </c>
      <c r="E33">
        <f>+(C33-C$7)/C$8</f>
        <v>24261.030982972323</v>
      </c>
      <c r="F33">
        <f>ROUND(2*E33,0)/2</f>
        <v>24261</v>
      </c>
      <c r="G33">
        <f>+C33-(C$7+F33*C$8)</f>
        <v>3.7423000001581386E-2</v>
      </c>
      <c r="I33">
        <f>G33</f>
        <v>3.7423000001581386E-2</v>
      </c>
      <c r="O33">
        <f ca="1">+C$11+C$12*F33</f>
        <v>2.6996228295443521E-2</v>
      </c>
      <c r="Q33" s="2">
        <f>+C33-15018.5</f>
        <v>40582.863100000002</v>
      </c>
    </row>
    <row r="34" spans="1:17" ht="12" customHeight="1">
      <c r="A34" s="37" t="s">
        <v>49</v>
      </c>
      <c r="B34" s="38" t="s">
        <v>45</v>
      </c>
      <c r="C34" s="37">
        <v>55624.304700000001</v>
      </c>
      <c r="D34" s="37">
        <v>2.2000000000000001E-3</v>
      </c>
      <c r="E34">
        <f>+(C34-C$7)/C$8</f>
        <v>24280.024622120003</v>
      </c>
      <c r="F34">
        <f>ROUND(2*E34,0)/2</f>
        <v>24280</v>
      </c>
      <c r="G34">
        <f>+C34-(C$7+F34*C$8)</f>
        <v>2.9740000005403999E-2</v>
      </c>
      <c r="I34">
        <f>G34</f>
        <v>2.9740000005403999E-2</v>
      </c>
      <c r="O34">
        <f ca="1">+C$11+C$12*F34</f>
        <v>2.7038016487337072E-2</v>
      </c>
      <c r="Q34" s="2">
        <f>+C34-15018.5</f>
        <v>40605.804700000001</v>
      </c>
    </row>
    <row r="35" spans="1:17" ht="12" customHeight="1">
      <c r="A35" s="31" t="s">
        <v>50</v>
      </c>
      <c r="B35" s="32" t="s">
        <v>45</v>
      </c>
      <c r="C35" s="33">
        <v>55961.293610000001</v>
      </c>
      <c r="D35" s="33">
        <v>2.0000000000000001E-4</v>
      </c>
      <c r="E35">
        <f>+(C35-C$7)/C$8</f>
        <v>24559.021978595149</v>
      </c>
      <c r="F35">
        <f>ROUND(2*E35,0)/2</f>
        <v>24559</v>
      </c>
      <c r="G35">
        <f>+C35-(C$7+F35*C$8)</f>
        <v>2.6547000001301058E-2</v>
      </c>
      <c r="K35">
        <f>G35</f>
        <v>2.6547000001301058E-2</v>
      </c>
      <c r="O35">
        <f ca="1">+C$11+C$12*F35</f>
        <v>2.7651643094616089E-2</v>
      </c>
      <c r="Q35" s="2">
        <f>+C35-15018.5</f>
        <v>40942.793610000001</v>
      </c>
    </row>
    <row r="36" spans="1:17" ht="12" customHeight="1">
      <c r="A36" s="31" t="s">
        <v>51</v>
      </c>
      <c r="B36" s="32" t="s">
        <v>52</v>
      </c>
      <c r="C36" s="33">
        <v>56329.694499999998</v>
      </c>
      <c r="D36" s="33">
        <v>1.7000000000000001E-4</v>
      </c>
      <c r="E36">
        <f>+(C36-C$7)/C$8</f>
        <v>24864.025708341302</v>
      </c>
      <c r="F36">
        <f>ROUND(2*E36,0)/2</f>
        <v>24864</v>
      </c>
      <c r="G36">
        <f>+C36-(C$7+F36*C$8)</f>
        <v>3.1051999998453539E-2</v>
      </c>
      <c r="I36">
        <f>G36</f>
        <v>3.1051999998453539E-2</v>
      </c>
      <c r="O36">
        <f ca="1">+C$11+C$12*F36</f>
        <v>2.832245354343365E-2</v>
      </c>
      <c r="Q36" s="2">
        <f>+C36-15018.5</f>
        <v>41311.194499999998</v>
      </c>
    </row>
    <row r="37" spans="1:17" ht="12" customHeight="1">
      <c r="A37" s="43" t="s">
        <v>57</v>
      </c>
      <c r="B37" s="46" t="s">
        <v>45</v>
      </c>
      <c r="C37" s="47">
        <v>56693.257940000003</v>
      </c>
      <c r="D37" s="43">
        <v>2.9999999999999997E-4</v>
      </c>
      <c r="E37">
        <f>+(C37-C$7)/C$8</f>
        <v>25165.024452397927</v>
      </c>
      <c r="F37">
        <f>ROUND(2*E37,0)/2</f>
        <v>25165</v>
      </c>
      <c r="G37">
        <f>+C37-(C$7+F37*C$8)</f>
        <v>2.9535000001487788E-2</v>
      </c>
      <c r="K37">
        <f>G37</f>
        <v>2.9535000001487788E-2</v>
      </c>
      <c r="O37">
        <f ca="1">+C$11+C$12*F37</f>
        <v>2.8984466478168359E-2</v>
      </c>
      <c r="Q37" s="2">
        <f>+C37-15018.5</f>
        <v>41674.757940000003</v>
      </c>
    </row>
    <row r="38" spans="1:17" ht="12" customHeight="1">
      <c r="A38" s="44" t="s">
        <v>56</v>
      </c>
      <c r="B38" s="45" t="str">
        <f>IF(K38="s","II","I")</f>
        <v>I</v>
      </c>
      <c r="C38" s="44">
        <v>56734.324699999997</v>
      </c>
      <c r="D38" s="44">
        <v>1.9E-3</v>
      </c>
      <c r="E38">
        <f>+(C38-C$7)/C$8</f>
        <v>25199.024139446967</v>
      </c>
      <c r="F38">
        <f>ROUND(2*E38,0)/2</f>
        <v>25199</v>
      </c>
      <c r="G38">
        <f>+C38-(C$7+F38*C$8)</f>
        <v>2.9156999997212552E-2</v>
      </c>
      <c r="I38">
        <f>G38</f>
        <v>2.9156999997212552E-2</v>
      </c>
      <c r="O38">
        <f ca="1">+C$11+C$12*F38</f>
        <v>2.905924534787261E-2</v>
      </c>
      <c r="Q38" s="2">
        <f>+C38-15018.5</f>
        <v>41715.824699999997</v>
      </c>
    </row>
    <row r="39" spans="1:17" ht="12" customHeight="1">
      <c r="A39" s="52" t="s">
        <v>59</v>
      </c>
      <c r="B39" s="53" t="s">
        <v>45</v>
      </c>
      <c r="C39" s="54">
        <v>59575.207400000188</v>
      </c>
      <c r="D39" s="55"/>
      <c r="E39">
        <f>+(C39-C$7)/C$8</f>
        <v>27551.026652989709</v>
      </c>
      <c r="F39">
        <f>ROUND(2*E39,0)/2</f>
        <v>27551</v>
      </c>
      <c r="G39">
        <f>+C39-(C$7+F39*C$8)</f>
        <v>3.2193000180996023E-2</v>
      </c>
      <c r="L39">
        <f>G39</f>
        <v>3.2193000180996023E-2</v>
      </c>
      <c r="O39">
        <f ca="1">+C$11+C$12*F39</f>
        <v>3.4232183628590339E-2</v>
      </c>
      <c r="Q39" s="2">
        <f>+C39-15018.5</f>
        <v>44556.707400000188</v>
      </c>
    </row>
    <row r="40" spans="1:17" ht="12" customHeight="1">
      <c r="A40" s="52" t="s">
        <v>59</v>
      </c>
      <c r="B40" s="53" t="s">
        <v>45</v>
      </c>
      <c r="C40" s="54">
        <v>59615.071200000122</v>
      </c>
      <c r="D40" s="55"/>
      <c r="E40">
        <f>+(C40-C$7)/C$8</f>
        <v>27584.030394326586</v>
      </c>
      <c r="F40">
        <f>ROUND(2*E40,0)/2</f>
        <v>27584</v>
      </c>
      <c r="G40">
        <f>+C40-(C$7+F40*C$8)</f>
        <v>3.6712000117404386E-2</v>
      </c>
      <c r="L40">
        <f>G40</f>
        <v>3.6712000117404386E-2</v>
      </c>
      <c r="O40">
        <f ca="1">+C$11+C$12*F40</f>
        <v>3.430476311977388E-2</v>
      </c>
      <c r="Q40" s="2">
        <f>+C40-15018.5</f>
        <v>44596.571200000122</v>
      </c>
    </row>
    <row r="41" spans="1:17" ht="12" customHeight="1">
      <c r="A41" s="48" t="s">
        <v>58</v>
      </c>
      <c r="B41" s="49" t="s">
        <v>45</v>
      </c>
      <c r="C41" s="50">
        <v>59984.668700000002</v>
      </c>
      <c r="D41" s="51">
        <v>2.2000000000000001E-3</v>
      </c>
      <c r="E41">
        <f>+(C41-C$7)/C$8</f>
        <v>27890.024812539894</v>
      </c>
      <c r="F41">
        <f>ROUND(2*E41,0)/2</f>
        <v>27890</v>
      </c>
      <c r="G41">
        <f>+C41-(C$7+F41*C$8)</f>
        <v>2.9969999995955732E-2</v>
      </c>
      <c r="K41">
        <f>G41</f>
        <v>2.9969999995955732E-2</v>
      </c>
      <c r="O41">
        <f ca="1">+C$11+C$12*F41</f>
        <v>3.4977772947112157E-2</v>
      </c>
      <c r="Q41" s="2">
        <f>+C41-15018.5</f>
        <v>44966.168700000002</v>
      </c>
    </row>
    <row r="42" spans="1:17" ht="12" customHeight="1">
      <c r="D42" s="5"/>
    </row>
    <row r="43" spans="1:17" ht="12" customHeight="1">
      <c r="D43" s="5"/>
    </row>
    <row r="44" spans="1:17">
      <c r="D44" s="5"/>
    </row>
    <row r="45" spans="1:17">
      <c r="D45" s="5"/>
    </row>
    <row r="46" spans="1:17">
      <c r="D46" s="5"/>
    </row>
  </sheetData>
  <sortState xmlns:xlrd2="http://schemas.microsoft.com/office/spreadsheetml/2017/richdata2" ref="A21:S46">
    <sortCondition ref="C21:C4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2023-08-19T06:40:17Z</dcterms:modified>
</cp:coreProperties>
</file>